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60" windowWidth="19320" windowHeight="9795"/>
  </bookViews>
  <sheets>
    <sheet name="Lot 1 " sheetId="1" r:id="rId1"/>
    <sheet name="Year 1" sheetId="2" r:id="rId2"/>
    <sheet name="Year 2" sheetId="3" r:id="rId3"/>
    <sheet name="Year 3" sheetId="4" r:id="rId4"/>
    <sheet name="Training" sheetId="5" r:id="rId5"/>
    <sheet name="Processing" sheetId="6" r:id="rId6"/>
    <sheet name="Pricing Summary" sheetId="7" r:id="rId7"/>
    <sheet name="Compensation Summary" sheetId="8" r:id="rId8"/>
  </sheets>
  <externalReferences>
    <externalReference r:id="rId9"/>
    <externalReference r:id="rId10"/>
    <externalReference r:id="rId11"/>
    <externalReference r:id="rId12"/>
  </externalReferences>
  <definedNames>
    <definedName name="_____Fee2" localSheetId="7">'[1]Base RateBuildUp'!#REF!</definedName>
    <definedName name="_____Fee3" localSheetId="7">'[1]Opt 1 RateBuildUp'!#REF!</definedName>
    <definedName name="_____Fee4" localSheetId="7">'[1]Opt 2 RateBuildUp'!#REF!</definedName>
    <definedName name="____Fee2" localSheetId="4">'[1]Base RateBuildUp'!#REF!</definedName>
    <definedName name="____Fee3" localSheetId="4">'[1]Opt 1 RateBuildUp'!#REF!</definedName>
    <definedName name="____Fee4" localSheetId="4">'[1]Opt 2 RateBuildUp'!#REF!</definedName>
    <definedName name="___Fee2" localSheetId="3">'[1]Base RateBuildUp'!#REF!</definedName>
    <definedName name="___Fee3" localSheetId="3">'[1]Opt 1 RateBuildUp'!#REF!</definedName>
    <definedName name="___Fee4" localSheetId="3">'[1]Opt 2 RateBuildUp'!#REF!</definedName>
    <definedName name="__Fee2" localSheetId="2">'[1]Base RateBuildUp'!#REF!</definedName>
    <definedName name="__Fee3" localSheetId="2">'[1]Opt 1 RateBuildUp'!#REF!</definedName>
    <definedName name="__Fee4" localSheetId="2">'[1]Opt 2 RateBuildUp'!#REF!</definedName>
    <definedName name="_Fee2">'[1]Base RateBuildUp'!#REF!</definedName>
    <definedName name="_Fee3">'[1]Opt 1 RateBuildUp'!#REF!</definedName>
    <definedName name="_Fee4">'[1]Opt 2 RateBuildUp'!#REF!</definedName>
    <definedName name="_xlnm._FilterDatabase" localSheetId="5" hidden="1">Processing!$AZ$29:$BA$29</definedName>
    <definedName name="_xlnm._FilterDatabase" localSheetId="4" hidden="1">Training!$AZ$29:$BA$29</definedName>
    <definedName name="_xlnm._FilterDatabase" localSheetId="1" hidden="1">'Year 1'!$AZ$29:$BA$29</definedName>
    <definedName name="_xlnm._FilterDatabase" localSheetId="2" hidden="1">'Year 2'!$AZ$29:$BA$29</definedName>
    <definedName name="_xlnm._FilterDatabase" localSheetId="3" hidden="1">'Year 3'!$AZ$29:$BA$29</definedName>
    <definedName name="CCRates" localSheetId="7">'[2]Indirect Lookup'!$B$3:$AE$66</definedName>
    <definedName name="CCRates" localSheetId="6">'[2]Indirect Lookup'!$B$3:$AE$66</definedName>
    <definedName name="CCRates">'[3]Indirect Lookup'!$B$3:$AE$66</definedName>
    <definedName name="CostCtr" localSheetId="7">'[2]Indirect Lookup'!$B$2:$AE$2</definedName>
    <definedName name="CostCtr" localSheetId="6">'[2]Indirect Lookup'!$B$2:$AE$2</definedName>
    <definedName name="CostCtr">'[3]Indirect Lookup'!$B$2:$AE$2</definedName>
    <definedName name="DL" localSheetId="7">[2]InputSheet!$B$173:$G$937</definedName>
    <definedName name="DL" localSheetId="6">[2]InputSheet!$B$173:$G$937</definedName>
    <definedName name="DL">[3]InputSheet!$B$173:$G$1024</definedName>
    <definedName name="Fee" localSheetId="7">'[1]Phase-In RateBuildUp'!#REF!</definedName>
    <definedName name="Fee" localSheetId="4">'[1]Phase-In RateBuildUp'!#REF!</definedName>
    <definedName name="Fee" localSheetId="2">'[1]Phase-In RateBuildUp'!#REF!</definedName>
    <definedName name="Fee" localSheetId="3">'[1]Phase-In RateBuildUp'!#REF!</definedName>
    <definedName name="Fee">'[1]Phase-In RateBuildUp'!#REF!</definedName>
    <definedName name="IndDesc">[1]InputSheet!$B$23:$B$30</definedName>
    <definedName name="Indirects" localSheetId="7">[2]Indirects!$AL$7:$AN$1071</definedName>
    <definedName name="Indirects" localSheetId="6">[2]Indirects!$AL$7:$AN$1071</definedName>
    <definedName name="Indirects">[3]Indirects!$AL$7:$AN$1071</definedName>
    <definedName name="IndYrs">[1]InputSheet!$C$21:$K$21</definedName>
    <definedName name="Input_Sheet">[4]InputSheet!$A$11:$J$170</definedName>
    <definedName name="POP">[1]InputSheet!$B$11:$D$16</definedName>
    <definedName name="_xlnm.Print_Area" localSheetId="0">'Lot 1 '!$B$1:$K$89</definedName>
    <definedName name="_xlnm.Print_Area" localSheetId="6">'Pricing Summary'!$A$1:$P$66</definedName>
    <definedName name="_xlnm.Print_Area" localSheetId="5">Processing!$E$1:$AF$65</definedName>
    <definedName name="_xlnm.Print_Area" localSheetId="4">Training!$E$1:$AF$65</definedName>
    <definedName name="_xlnm.Print_Area" localSheetId="1">'Year 1'!$E$1:$AF$66</definedName>
    <definedName name="_xlnm.Print_Area" localSheetId="2">'Year 2'!$E$1:$AF$66</definedName>
    <definedName name="_xlnm.Print_Area" localSheetId="3">'Year 3'!$E$1:$AF$66</definedName>
    <definedName name="_xlnm.Print_Area">#REF!</definedName>
    <definedName name="_xlnm.Print_Titles" localSheetId="5">Processing!$D$1:$L$65536,Processing!$A$1:$IV$30</definedName>
    <definedName name="_xlnm.Print_Titles" localSheetId="4">Training!$D$1:$L$65536,Training!$A$1:$IV$30</definedName>
    <definedName name="_xlnm.Print_Titles" localSheetId="1">'Year 1'!$D$1:$L$65536,'Year 1'!$A$1:$IV$30</definedName>
    <definedName name="_xlnm.Print_Titles" localSheetId="2">'Year 2'!$D$1:$L$65536,'Year 2'!$A$1:$IV$30</definedName>
    <definedName name="_xlnm.Print_Titles" localSheetId="3">'Year 3'!$D$1:$L$65536,'Year 3'!$A$1:$IV$30</definedName>
    <definedName name="RATEBOOK">#REF!</definedName>
    <definedName name="Sub_Period" localSheetId="7">'[2]Sub Rates'!$F$8:$IV$8</definedName>
    <definedName name="Sub_Period" localSheetId="6">'[2]Sub Rates'!$F$8:$IV$8</definedName>
    <definedName name="Sub_Period">'[3]Sub Rates'!$F$8:$IV$8</definedName>
    <definedName name="YrBurden" localSheetId="7">'[2]Indirect Lookup'!$A$3:$A$66</definedName>
    <definedName name="YrBurden" localSheetId="6">'[2]Indirect Lookup'!$A$3:$A$66</definedName>
    <definedName name="YrBurden">'[3]Indirect Lookup'!$A$3:$A$66</definedName>
    <definedName name="Z_81186096_D7BA_4F5C_9DAA_F5D1FADD2876_.wvu.Cols" localSheetId="5" hidden="1">Processing!$J$1:$K$65536,Processing!#REF!,Processing!#REF!,Processing!#REF!</definedName>
    <definedName name="Z_81186096_D7BA_4F5C_9DAA_F5D1FADD2876_.wvu.Cols" localSheetId="4" hidden="1">Training!$J$1:$K$65536,Training!#REF!,Training!#REF!,Training!#REF!</definedName>
    <definedName name="Z_81186096_D7BA_4F5C_9DAA_F5D1FADD2876_.wvu.Cols" localSheetId="1" hidden="1">'Year 1'!$J$1:$K$65536,'Year 1'!#REF!,'Year 1'!#REF!,'Year 1'!#REF!</definedName>
    <definedName name="Z_81186096_D7BA_4F5C_9DAA_F5D1FADD2876_.wvu.Cols" localSheetId="2" hidden="1">'Year 2'!$J$1:$K$65536,'Year 2'!#REF!,'Year 2'!#REF!,'Year 2'!#REF!</definedName>
    <definedName name="Z_81186096_D7BA_4F5C_9DAA_F5D1FADD2876_.wvu.Cols" localSheetId="3" hidden="1">'Year 3'!$J$1:$K$65536,'Year 3'!#REF!,'Year 3'!#REF!,'Year 3'!#REF!</definedName>
    <definedName name="Z_81186096_D7BA_4F5C_9DAA_F5D1FADD2876_.wvu.PrintArea" localSheetId="5" hidden="1">Processing!$D$1:$AE$91</definedName>
    <definedName name="Z_81186096_D7BA_4F5C_9DAA_F5D1FADD2876_.wvu.PrintArea" localSheetId="4" hidden="1">Training!$D$1:$AE$91</definedName>
    <definedName name="Z_81186096_D7BA_4F5C_9DAA_F5D1FADD2876_.wvu.PrintArea" localSheetId="1" hidden="1">'Year 1'!$D$1:$AE$92</definedName>
    <definedName name="Z_81186096_D7BA_4F5C_9DAA_F5D1FADD2876_.wvu.PrintArea" localSheetId="2" hidden="1">'Year 2'!$D$1:$AE$92</definedName>
    <definedName name="Z_81186096_D7BA_4F5C_9DAA_F5D1FADD2876_.wvu.PrintArea" localSheetId="3" hidden="1">'Year 3'!$D$1:$AE$92</definedName>
    <definedName name="Z_81186096_D7BA_4F5C_9DAA_F5D1FADD2876_.wvu.PrintTitles" localSheetId="5" hidden="1">Processing!$A$1:$IV$31</definedName>
    <definedName name="Z_81186096_D7BA_4F5C_9DAA_F5D1FADD2876_.wvu.PrintTitles" localSheetId="4" hidden="1">Training!$A$1:$IV$31</definedName>
    <definedName name="Z_81186096_D7BA_4F5C_9DAA_F5D1FADD2876_.wvu.PrintTitles" localSheetId="1" hidden="1">'Year 1'!$A$1:$IV$31</definedName>
    <definedName name="Z_81186096_D7BA_4F5C_9DAA_F5D1FADD2876_.wvu.PrintTitles" localSheetId="2" hidden="1">'Year 2'!$A$1:$IV$31</definedName>
    <definedName name="Z_81186096_D7BA_4F5C_9DAA_F5D1FADD2876_.wvu.PrintTitles" localSheetId="3" hidden="1">'Year 3'!$A$1:$IV$31</definedName>
  </definedNames>
  <calcPr calcId="125725"/>
</workbook>
</file>

<file path=xl/calcChain.xml><?xml version="1.0" encoding="utf-8"?>
<calcChain xmlns="http://schemas.openxmlformats.org/spreadsheetml/2006/main">
  <c r="J9" i="8"/>
  <c r="J10"/>
  <c r="J11"/>
  <c r="J12"/>
  <c r="J13"/>
  <c r="J14"/>
  <c r="J15"/>
  <c r="J16"/>
  <c r="J17"/>
  <c r="J18"/>
  <c r="F9" i="7"/>
  <c r="F26" s="1"/>
  <c r="A10"/>
  <c r="F10"/>
  <c r="A11"/>
  <c r="F11"/>
  <c r="A12"/>
  <c r="F12"/>
  <c r="F25" s="1"/>
  <c r="F28" s="1"/>
  <c r="F38" s="1"/>
  <c r="A13"/>
  <c r="F13"/>
  <c r="A14"/>
  <c r="F14"/>
  <c r="A15"/>
  <c r="F15"/>
  <c r="A16"/>
  <c r="F16"/>
  <c r="A17"/>
  <c r="F17"/>
  <c r="A18"/>
  <c r="F18"/>
  <c r="A19"/>
  <c r="F19"/>
  <c r="A20"/>
  <c r="F20"/>
  <c r="A21"/>
  <c r="F21"/>
  <c r="A22"/>
  <c r="F22"/>
  <c r="A23"/>
  <c r="F23"/>
  <c r="I25"/>
  <c r="L25"/>
  <c r="O25"/>
  <c r="I26"/>
  <c r="L26"/>
  <c r="O26"/>
  <c r="I28"/>
  <c r="L28"/>
  <c r="O28"/>
  <c r="N5" i="6"/>
  <c r="O5"/>
  <c r="P5"/>
  <c r="Q5"/>
  <c r="R5"/>
  <c r="U5"/>
  <c r="V5"/>
  <c r="W5"/>
  <c r="X5"/>
  <c r="Y5"/>
  <c r="Z5"/>
  <c r="AB5"/>
  <c r="L6"/>
  <c r="M6"/>
  <c r="N6"/>
  <c r="N34" s="1"/>
  <c r="O6"/>
  <c r="P6"/>
  <c r="Q6"/>
  <c r="R6"/>
  <c r="U6"/>
  <c r="V6"/>
  <c r="W6"/>
  <c r="X6"/>
  <c r="Y6"/>
  <c r="Z6"/>
  <c r="AB6"/>
  <c r="Z7"/>
  <c r="AF9"/>
  <c r="B10"/>
  <c r="J10"/>
  <c r="AB10"/>
  <c r="AF10"/>
  <c r="J11"/>
  <c r="K11"/>
  <c r="AB11"/>
  <c r="AF11"/>
  <c r="J12"/>
  <c r="K12"/>
  <c r="AB12"/>
  <c r="AB13" s="1"/>
  <c r="AB14" s="1"/>
  <c r="AB15" s="1"/>
  <c r="AB16" s="1"/>
  <c r="AB17" s="1"/>
  <c r="AB18" s="1"/>
  <c r="AB19" s="1"/>
  <c r="AB20" s="1"/>
  <c r="AF12"/>
  <c r="K13"/>
  <c r="AF13"/>
  <c r="J14"/>
  <c r="K14"/>
  <c r="AF14"/>
  <c r="K15"/>
  <c r="AF15"/>
  <c r="J16"/>
  <c r="K16"/>
  <c r="AF16"/>
  <c r="J17"/>
  <c r="K17"/>
  <c r="AF17"/>
  <c r="J18"/>
  <c r="K18"/>
  <c r="AF18"/>
  <c r="J19"/>
  <c r="K19"/>
  <c r="AF19"/>
  <c r="J20"/>
  <c r="K20"/>
  <c r="AF20"/>
  <c r="J21"/>
  <c r="AB21"/>
  <c r="AB22" s="1"/>
  <c r="AF21"/>
  <c r="J22"/>
  <c r="K22"/>
  <c r="N22"/>
  <c r="AF22"/>
  <c r="J23"/>
  <c r="K23"/>
  <c r="AF23"/>
  <c r="J24"/>
  <c r="R24"/>
  <c r="AB24"/>
  <c r="AF24"/>
  <c r="N26"/>
  <c r="Q26"/>
  <c r="R26"/>
  <c r="Z26"/>
  <c r="AB26"/>
  <c r="L30"/>
  <c r="O30"/>
  <c r="P30"/>
  <c r="Q30"/>
  <c r="R30"/>
  <c r="U30"/>
  <c r="V30"/>
  <c r="W30"/>
  <c r="X30"/>
  <c r="Y30"/>
  <c r="Z30"/>
  <c r="AA30"/>
  <c r="AB30"/>
  <c r="J32"/>
  <c r="N32"/>
  <c r="S32"/>
  <c r="U32"/>
  <c r="V32"/>
  <c r="W32"/>
  <c r="Y32"/>
  <c r="AD32"/>
  <c r="T32" s="1"/>
  <c r="D33"/>
  <c r="J33"/>
  <c r="N33"/>
  <c r="P33" s="1"/>
  <c r="S33"/>
  <c r="T33"/>
  <c r="U33"/>
  <c r="V33"/>
  <c r="W33"/>
  <c r="Y33"/>
  <c r="AD33"/>
  <c r="D34"/>
  <c r="J34"/>
  <c r="S34"/>
  <c r="U34"/>
  <c r="V34"/>
  <c r="W34"/>
  <c r="Y34"/>
  <c r="AD34"/>
  <c r="T34" s="1"/>
  <c r="D35"/>
  <c r="S35"/>
  <c r="T35"/>
  <c r="V35"/>
  <c r="W35"/>
  <c r="Y35"/>
  <c r="AD35"/>
  <c r="S36"/>
  <c r="V36"/>
  <c r="W36"/>
  <c r="Y36"/>
  <c r="AD36"/>
  <c r="T36" s="1"/>
  <c r="V37"/>
  <c r="AD37"/>
  <c r="S42"/>
  <c r="V42"/>
  <c r="W42"/>
  <c r="Y42"/>
  <c r="AD42"/>
  <c r="T42" s="1"/>
  <c r="V43"/>
  <c r="AD43"/>
  <c r="S44"/>
  <c r="V44"/>
  <c r="W44"/>
  <c r="Y44"/>
  <c r="AD44"/>
  <c r="T44" s="1"/>
  <c r="V45"/>
  <c r="AD45"/>
  <c r="S45" s="1"/>
  <c r="S46"/>
  <c r="V46"/>
  <c r="W46"/>
  <c r="Y46"/>
  <c r="AD46"/>
  <c r="T46" s="1"/>
  <c r="J48"/>
  <c r="N48"/>
  <c r="P48" s="1"/>
  <c r="D49"/>
  <c r="J49"/>
  <c r="N49"/>
  <c r="AZ50"/>
  <c r="BA50"/>
  <c r="AZ51"/>
  <c r="BA51"/>
  <c r="AD52"/>
  <c r="AZ52"/>
  <c r="AZ53"/>
  <c r="BA53"/>
  <c r="AZ54"/>
  <c r="BA54"/>
  <c r="N57"/>
  <c r="AZ60"/>
  <c r="BA60"/>
  <c r="AZ61"/>
  <c r="BA61"/>
  <c r="AZ62"/>
  <c r="AZ63"/>
  <c r="BA63"/>
  <c r="AZ64"/>
  <c r="BA64"/>
  <c r="AD65"/>
  <c r="AZ65"/>
  <c r="AZ66"/>
  <c r="BA66"/>
  <c r="AZ67"/>
  <c r="BA67"/>
  <c r="AZ68"/>
  <c r="BA68"/>
  <c r="AD69"/>
  <c r="AF69"/>
  <c r="AZ69"/>
  <c r="AD70"/>
  <c r="AF70"/>
  <c r="AD71"/>
  <c r="Z71" s="1"/>
  <c r="AE71"/>
  <c r="AA71" s="1"/>
  <c r="AF71"/>
  <c r="BA71"/>
  <c r="AD72"/>
  <c r="Z72" s="1"/>
  <c r="AF72"/>
  <c r="AD73"/>
  <c r="Z73" s="1"/>
  <c r="AE73"/>
  <c r="AA73" s="1"/>
  <c r="AF73"/>
  <c r="BA73"/>
  <c r="AD74"/>
  <c r="Z74" s="1"/>
  <c r="AE74"/>
  <c r="AA74" s="1"/>
  <c r="AF74"/>
  <c r="BA74"/>
  <c r="AD75"/>
  <c r="Z75" s="1"/>
  <c r="AE75"/>
  <c r="AA75" s="1"/>
  <c r="AF75"/>
  <c r="BA75"/>
  <c r="AD76"/>
  <c r="Z76" s="1"/>
  <c r="AE76"/>
  <c r="AA76" s="1"/>
  <c r="AF76"/>
  <c r="BA76"/>
  <c r="AD77"/>
  <c r="Z77" s="1"/>
  <c r="AE77"/>
  <c r="AA77" s="1"/>
  <c r="AF77"/>
  <c r="BA77"/>
  <c r="AD78"/>
  <c r="Z78" s="1"/>
  <c r="AE78"/>
  <c r="AA78" s="1"/>
  <c r="AF78"/>
  <c r="BA78"/>
  <c r="AD79"/>
  <c r="Z79" s="1"/>
  <c r="AE79"/>
  <c r="AA79" s="1"/>
  <c r="AF79"/>
  <c r="BA79"/>
  <c r="AD80"/>
  <c r="Z80" s="1"/>
  <c r="AE80"/>
  <c r="AA80" s="1"/>
  <c r="AF80"/>
  <c r="BA80"/>
  <c r="AD81"/>
  <c r="AD90" s="1"/>
  <c r="AE81"/>
  <c r="AA81" s="1"/>
  <c r="AF81"/>
  <c r="BA81"/>
  <c r="AD82"/>
  <c r="Z82" s="1"/>
  <c r="AE82"/>
  <c r="AA82" s="1"/>
  <c r="AF82"/>
  <c r="BA82"/>
  <c r="AD83"/>
  <c r="Z83" s="1"/>
  <c r="AE83"/>
  <c r="AA83" s="1"/>
  <c r="AF83"/>
  <c r="BA83"/>
  <c r="AD84"/>
  <c r="Z84" s="1"/>
  <c r="AE84"/>
  <c r="AA84" s="1"/>
  <c r="AF84"/>
  <c r="BA84"/>
  <c r="AD85"/>
  <c r="Z85" s="1"/>
  <c r="AE85"/>
  <c r="AA85" s="1"/>
  <c r="AF85"/>
  <c r="BA85"/>
  <c r="AD86"/>
  <c r="Z86" s="1"/>
  <c r="AE86"/>
  <c r="AA86" s="1"/>
  <c r="AF86"/>
  <c r="BA86"/>
  <c r="AD87"/>
  <c r="Z87" s="1"/>
  <c r="AE87"/>
  <c r="AA87" s="1"/>
  <c r="AF87"/>
  <c r="BA87"/>
  <c r="AD88"/>
  <c r="Z88" s="1"/>
  <c r="AE88"/>
  <c r="AA88" s="1"/>
  <c r="AF88"/>
  <c r="BA88"/>
  <c r="AD89"/>
  <c r="Z89" s="1"/>
  <c r="AE89"/>
  <c r="AA89" s="1"/>
  <c r="AF89"/>
  <c r="BA89"/>
  <c r="AZ90"/>
  <c r="AZ91"/>
  <c r="BA91"/>
  <c r="N5" i="5"/>
  <c r="O5"/>
  <c r="P5"/>
  <c r="Q5"/>
  <c r="R5"/>
  <c r="U5"/>
  <c r="V5"/>
  <c r="W5"/>
  <c r="X5"/>
  <c r="Y5"/>
  <c r="Z5"/>
  <c r="AB5"/>
  <c r="L6"/>
  <c r="M6"/>
  <c r="N6"/>
  <c r="O6"/>
  <c r="P6"/>
  <c r="Q6"/>
  <c r="R6"/>
  <c r="U6"/>
  <c r="V6"/>
  <c r="W6"/>
  <c r="W57" s="1"/>
  <c r="X6"/>
  <c r="Y6"/>
  <c r="Z6"/>
  <c r="AB6"/>
  <c r="Z7"/>
  <c r="AF9"/>
  <c r="B10"/>
  <c r="AB10"/>
  <c r="AB11" s="1"/>
  <c r="AB12" s="1"/>
  <c r="AB13" s="1"/>
  <c r="AB14" s="1"/>
  <c r="AB15" s="1"/>
  <c r="AF10"/>
  <c r="J11"/>
  <c r="K11"/>
  <c r="AF11"/>
  <c r="K12"/>
  <c r="AF12"/>
  <c r="K13"/>
  <c r="AF13"/>
  <c r="K14"/>
  <c r="AF14"/>
  <c r="K15"/>
  <c r="AF15"/>
  <c r="K16"/>
  <c r="AB16"/>
  <c r="AB17" s="1"/>
  <c r="AF16"/>
  <c r="J17"/>
  <c r="K17"/>
  <c r="AF17"/>
  <c r="K18"/>
  <c r="AB18"/>
  <c r="AB19" s="1"/>
  <c r="AB20" s="1"/>
  <c r="AF18"/>
  <c r="J19"/>
  <c r="K19"/>
  <c r="AF19"/>
  <c r="K20"/>
  <c r="AF20"/>
  <c r="J21"/>
  <c r="AB21"/>
  <c r="AB22" s="1"/>
  <c r="AF21"/>
  <c r="J22"/>
  <c r="K22"/>
  <c r="N22"/>
  <c r="AF22"/>
  <c r="K23"/>
  <c r="K24" s="1"/>
  <c r="AF23"/>
  <c r="J24"/>
  <c r="R24" s="1"/>
  <c r="AB24"/>
  <c r="AF24"/>
  <c r="N26"/>
  <c r="Q26"/>
  <c r="R26"/>
  <c r="Z26"/>
  <c r="AB26"/>
  <c r="L30"/>
  <c r="O30"/>
  <c r="P30"/>
  <c r="Q30"/>
  <c r="R30"/>
  <c r="U30"/>
  <c r="V30"/>
  <c r="W30"/>
  <c r="X30"/>
  <c r="Y30"/>
  <c r="Z30"/>
  <c r="AA30"/>
  <c r="AB30"/>
  <c r="J32"/>
  <c r="S32"/>
  <c r="U32"/>
  <c r="V32"/>
  <c r="W32"/>
  <c r="Y32"/>
  <c r="AD32"/>
  <c r="T32" s="1"/>
  <c r="D33"/>
  <c r="T33"/>
  <c r="V33"/>
  <c r="AD33"/>
  <c r="S34"/>
  <c r="V34"/>
  <c r="W34"/>
  <c r="Y34"/>
  <c r="AD34"/>
  <c r="T34" s="1"/>
  <c r="T35"/>
  <c r="V35"/>
  <c r="AD35"/>
  <c r="S36"/>
  <c r="V36"/>
  <c r="W36"/>
  <c r="Y36"/>
  <c r="AD36"/>
  <c r="T36" s="1"/>
  <c r="T37"/>
  <c r="V37"/>
  <c r="AD37"/>
  <c r="S42"/>
  <c r="V42"/>
  <c r="W42"/>
  <c r="Y42"/>
  <c r="AD42"/>
  <c r="T42" s="1"/>
  <c r="T43"/>
  <c r="V43"/>
  <c r="AD43"/>
  <c r="S44"/>
  <c r="V44"/>
  <c r="W44"/>
  <c r="Y44"/>
  <c r="AD44"/>
  <c r="T44" s="1"/>
  <c r="T45"/>
  <c r="V45"/>
  <c r="AD45"/>
  <c r="S46"/>
  <c r="V46"/>
  <c r="W46"/>
  <c r="Y46"/>
  <c r="AD46"/>
  <c r="T46" s="1"/>
  <c r="J48"/>
  <c r="D49"/>
  <c r="N49"/>
  <c r="J49"/>
  <c r="AZ50"/>
  <c r="BA50"/>
  <c r="AZ51"/>
  <c r="BA51"/>
  <c r="AD52"/>
  <c r="AZ52"/>
  <c r="AZ53"/>
  <c r="BA53"/>
  <c r="AZ54"/>
  <c r="BA54"/>
  <c r="N56"/>
  <c r="W56"/>
  <c r="N57"/>
  <c r="Q57"/>
  <c r="N58"/>
  <c r="O58" s="1"/>
  <c r="AZ60"/>
  <c r="BA60"/>
  <c r="AZ61"/>
  <c r="BA61"/>
  <c r="AZ62"/>
  <c r="AZ63"/>
  <c r="BA63"/>
  <c r="AZ64"/>
  <c r="BA64"/>
  <c r="AD65"/>
  <c r="AZ65"/>
  <c r="AZ66"/>
  <c r="BA66"/>
  <c r="AZ67"/>
  <c r="BA67"/>
  <c r="AZ68"/>
  <c r="BA68"/>
  <c r="AD69"/>
  <c r="AF69"/>
  <c r="AZ69"/>
  <c r="AD70"/>
  <c r="AF70"/>
  <c r="AD71"/>
  <c r="Z71" s="1"/>
  <c r="AF71"/>
  <c r="AD72"/>
  <c r="Z72" s="1"/>
  <c r="AF72"/>
  <c r="Z73"/>
  <c r="AD73"/>
  <c r="AB73" s="1"/>
  <c r="AE73"/>
  <c r="AA73" s="1"/>
  <c r="AF73"/>
  <c r="AD74"/>
  <c r="AE74"/>
  <c r="AA74" s="1"/>
  <c r="AD75"/>
  <c r="AE75"/>
  <c r="AA75" s="1"/>
  <c r="AD76"/>
  <c r="AE76"/>
  <c r="AA76" s="1"/>
  <c r="AD77"/>
  <c r="AE77"/>
  <c r="AA77" s="1"/>
  <c r="AD78"/>
  <c r="AE78"/>
  <c r="AA78" s="1"/>
  <c r="AD79"/>
  <c r="AE79"/>
  <c r="AA79" s="1"/>
  <c r="AD80"/>
  <c r="AE80"/>
  <c r="AA80" s="1"/>
  <c r="AD81"/>
  <c r="AE81"/>
  <c r="AA81" s="1"/>
  <c r="AD82"/>
  <c r="AE82"/>
  <c r="AA82" s="1"/>
  <c r="AD83"/>
  <c r="AE83"/>
  <c r="AA83" s="1"/>
  <c r="AD84"/>
  <c r="AE84"/>
  <c r="AA84" s="1"/>
  <c r="AD85"/>
  <c r="AE85"/>
  <c r="AA85" s="1"/>
  <c r="AD86"/>
  <c r="AE86"/>
  <c r="AA86" s="1"/>
  <c r="AD87"/>
  <c r="AE87"/>
  <c r="AA87" s="1"/>
  <c r="AD88"/>
  <c r="AE88"/>
  <c r="AA88" s="1"/>
  <c r="AD89"/>
  <c r="AC89"/>
  <c r="AE89"/>
  <c r="BA89" s="1"/>
  <c r="AZ89"/>
  <c r="AZ90"/>
  <c r="AZ91"/>
  <c r="BA91"/>
  <c r="N5" i="4"/>
  <c r="N26" s="1"/>
  <c r="O5"/>
  <c r="P5"/>
  <c r="Q5"/>
  <c r="R5"/>
  <c r="R26" s="1"/>
  <c r="U5"/>
  <c r="V5"/>
  <c r="W5"/>
  <c r="X5"/>
  <c r="Y5"/>
  <c r="Z5"/>
  <c r="AB5"/>
  <c r="L6"/>
  <c r="M6"/>
  <c r="N6"/>
  <c r="O6"/>
  <c r="P6"/>
  <c r="Q6"/>
  <c r="R6"/>
  <c r="U6"/>
  <c r="V6"/>
  <c r="W6"/>
  <c r="X6"/>
  <c r="Y6"/>
  <c r="Z6"/>
  <c r="AB6"/>
  <c r="AF9"/>
  <c r="B10"/>
  <c r="J10"/>
  <c r="AF10"/>
  <c r="W10"/>
  <c r="AB10"/>
  <c r="J11"/>
  <c r="AB11"/>
  <c r="AB12" s="1"/>
  <c r="AF11"/>
  <c r="J12"/>
  <c r="K12"/>
  <c r="AF12"/>
  <c r="AB13"/>
  <c r="AB14" s="1"/>
  <c r="AB15" s="1"/>
  <c r="AB16" s="1"/>
  <c r="AB17" s="1"/>
  <c r="AB18" s="1"/>
  <c r="AB19" s="1"/>
  <c r="AB20" s="1"/>
  <c r="AF13"/>
  <c r="J14"/>
  <c r="K14"/>
  <c r="AF14"/>
  <c r="K15"/>
  <c r="AF15"/>
  <c r="J16"/>
  <c r="K16"/>
  <c r="AF16"/>
  <c r="J17"/>
  <c r="K17"/>
  <c r="AF17"/>
  <c r="J18"/>
  <c r="K18"/>
  <c r="AF18"/>
  <c r="J19"/>
  <c r="K19"/>
  <c r="AF19"/>
  <c r="J20"/>
  <c r="K20"/>
  <c r="AF20"/>
  <c r="J21"/>
  <c r="K22"/>
  <c r="AB21"/>
  <c r="AF21"/>
  <c r="J22"/>
  <c r="N22"/>
  <c r="AB22"/>
  <c r="AF22"/>
  <c r="J23"/>
  <c r="AF23"/>
  <c r="J24"/>
  <c r="R24"/>
  <c r="AB24"/>
  <c r="AF24"/>
  <c r="Q26"/>
  <c r="Z26"/>
  <c r="AB26"/>
  <c r="L30"/>
  <c r="O30"/>
  <c r="P30"/>
  <c r="Q30"/>
  <c r="R30"/>
  <c r="U30"/>
  <c r="V30"/>
  <c r="W30"/>
  <c r="X30"/>
  <c r="Y30"/>
  <c r="Z30"/>
  <c r="AA30"/>
  <c r="AB30"/>
  <c r="U32"/>
  <c r="J32"/>
  <c r="D33"/>
  <c r="D34"/>
  <c r="D35"/>
  <c r="D36"/>
  <c r="D37"/>
  <c r="D38"/>
  <c r="J48"/>
  <c r="AP48"/>
  <c r="D49"/>
  <c r="AP49"/>
  <c r="AZ50"/>
  <c r="BA50"/>
  <c r="AZ51"/>
  <c r="BA51"/>
  <c r="AZ52"/>
  <c r="AZ53"/>
  <c r="BA53"/>
  <c r="AZ54"/>
  <c r="BA54"/>
  <c r="N56"/>
  <c r="N57"/>
  <c r="O57" s="1"/>
  <c r="W57"/>
  <c r="N58"/>
  <c r="W58"/>
  <c r="N59"/>
  <c r="V59"/>
  <c r="AZ61"/>
  <c r="BA61"/>
  <c r="AZ62"/>
  <c r="BA62"/>
  <c r="AZ63"/>
  <c r="AZ64"/>
  <c r="BA64"/>
  <c r="AZ65"/>
  <c r="BA65"/>
  <c r="AZ66"/>
  <c r="AZ67"/>
  <c r="BA67"/>
  <c r="AZ68"/>
  <c r="BA68"/>
  <c r="AZ69"/>
  <c r="BA69"/>
  <c r="AF70"/>
  <c r="AZ70"/>
  <c r="AD72"/>
  <c r="AE72"/>
  <c r="AA72" s="1"/>
  <c r="AD73"/>
  <c r="AD74"/>
  <c r="AE74"/>
  <c r="AA74" s="1"/>
  <c r="AD75"/>
  <c r="AE75"/>
  <c r="AA75" s="1"/>
  <c r="AD76"/>
  <c r="AE76"/>
  <c r="AA76" s="1"/>
  <c r="AD77"/>
  <c r="AE77"/>
  <c r="AA77" s="1"/>
  <c r="AD78"/>
  <c r="AE78"/>
  <c r="AA78" s="1"/>
  <c r="AD79"/>
  <c r="AE79"/>
  <c r="AA79" s="1"/>
  <c r="AD80"/>
  <c r="AE80"/>
  <c r="AA80" s="1"/>
  <c r="AD81"/>
  <c r="AE81"/>
  <c r="AA81" s="1"/>
  <c r="AD82"/>
  <c r="AE82"/>
  <c r="AA82" s="1"/>
  <c r="AD83"/>
  <c r="AE83"/>
  <c r="AA83" s="1"/>
  <c r="AD84"/>
  <c r="AE84"/>
  <c r="AA84" s="1"/>
  <c r="AD85"/>
  <c r="AE85"/>
  <c r="AA85" s="1"/>
  <c r="AD86"/>
  <c r="AE86"/>
  <c r="AA86" s="1"/>
  <c r="AD87"/>
  <c r="AE87"/>
  <c r="AA87" s="1"/>
  <c r="AD88"/>
  <c r="AE88"/>
  <c r="AA88" s="1"/>
  <c r="AD89"/>
  <c r="AE89"/>
  <c r="AA89" s="1"/>
  <c r="AD90"/>
  <c r="AE90"/>
  <c r="AA90" s="1"/>
  <c r="AZ91"/>
  <c r="AZ92"/>
  <c r="BA92"/>
  <c r="N5" i="3"/>
  <c r="N26" s="1"/>
  <c r="O5"/>
  <c r="P5"/>
  <c r="Q5"/>
  <c r="R5"/>
  <c r="R26" s="1"/>
  <c r="U5"/>
  <c r="V5"/>
  <c r="W5"/>
  <c r="X5"/>
  <c r="Y5"/>
  <c r="Z5"/>
  <c r="AB5"/>
  <c r="L6"/>
  <c r="M6"/>
  <c r="N6"/>
  <c r="N56" s="1"/>
  <c r="O6"/>
  <c r="P6"/>
  <c r="Q6"/>
  <c r="R6"/>
  <c r="U6"/>
  <c r="V6"/>
  <c r="W6"/>
  <c r="X6"/>
  <c r="Y6"/>
  <c r="Z6"/>
  <c r="AB6"/>
  <c r="Z7"/>
  <c r="AF9"/>
  <c r="B10"/>
  <c r="J10"/>
  <c r="W10"/>
  <c r="W32" s="1"/>
  <c r="AB10"/>
  <c r="AF10"/>
  <c r="J11"/>
  <c r="K11"/>
  <c r="AB11"/>
  <c r="AB12" s="1"/>
  <c r="AB13" s="1"/>
  <c r="AB14" s="1"/>
  <c r="AB15" s="1"/>
  <c r="AB16" s="1"/>
  <c r="AB17" s="1"/>
  <c r="AB18" s="1"/>
  <c r="AB19" s="1"/>
  <c r="AB20" s="1"/>
  <c r="AF11"/>
  <c r="J12"/>
  <c r="K12"/>
  <c r="AF12"/>
  <c r="K13"/>
  <c r="AF13"/>
  <c r="J14"/>
  <c r="K14"/>
  <c r="AF14"/>
  <c r="K15"/>
  <c r="AF15"/>
  <c r="J16"/>
  <c r="K16"/>
  <c r="AF16"/>
  <c r="J17"/>
  <c r="K17"/>
  <c r="AF17"/>
  <c r="J18"/>
  <c r="K18"/>
  <c r="AF18"/>
  <c r="J19"/>
  <c r="K19"/>
  <c r="AF19"/>
  <c r="J20"/>
  <c r="K20"/>
  <c r="AF20"/>
  <c r="J21"/>
  <c r="AB21"/>
  <c r="AF21"/>
  <c r="J22"/>
  <c r="K22"/>
  <c r="K23" s="1"/>
  <c r="N22"/>
  <c r="AB22"/>
  <c r="AF22"/>
  <c r="J23"/>
  <c r="AF23"/>
  <c r="J24"/>
  <c r="R24"/>
  <c r="AB24"/>
  <c r="AF24"/>
  <c r="Q26"/>
  <c r="Z26"/>
  <c r="AB26"/>
  <c r="L30"/>
  <c r="O30"/>
  <c r="P30"/>
  <c r="Q30"/>
  <c r="R30"/>
  <c r="U30"/>
  <c r="V30"/>
  <c r="W30"/>
  <c r="X30"/>
  <c r="Y30"/>
  <c r="Z30"/>
  <c r="AA30"/>
  <c r="AB30"/>
  <c r="J32"/>
  <c r="V32"/>
  <c r="D33"/>
  <c r="V33"/>
  <c r="D34"/>
  <c r="V34"/>
  <c r="D35"/>
  <c r="V35"/>
  <c r="D36"/>
  <c r="V36"/>
  <c r="D37"/>
  <c r="V37"/>
  <c r="D38"/>
  <c r="N38"/>
  <c r="J48"/>
  <c r="AP48"/>
  <c r="D49"/>
  <c r="AP49"/>
  <c r="AZ50"/>
  <c r="BA50"/>
  <c r="AZ51"/>
  <c r="BA51"/>
  <c r="AZ52"/>
  <c r="AZ53"/>
  <c r="BA53"/>
  <c r="AZ54"/>
  <c r="BA54"/>
  <c r="AZ61"/>
  <c r="BA61"/>
  <c r="AZ62"/>
  <c r="BA62"/>
  <c r="AZ63"/>
  <c r="AZ64"/>
  <c r="BA64"/>
  <c r="AZ65"/>
  <c r="BA65"/>
  <c r="AZ66"/>
  <c r="AZ67"/>
  <c r="BA67"/>
  <c r="AZ68"/>
  <c r="BA68"/>
  <c r="AZ69"/>
  <c r="BA69"/>
  <c r="AF70"/>
  <c r="AZ70"/>
  <c r="AF71"/>
  <c r="AB72"/>
  <c r="AD72"/>
  <c r="Z72" s="1"/>
  <c r="AF72"/>
  <c r="AD73"/>
  <c r="AF73"/>
  <c r="AB74"/>
  <c r="AD74"/>
  <c r="Z74" s="1"/>
  <c r="AF74"/>
  <c r="AB75"/>
  <c r="AD75"/>
  <c r="Z75" s="1"/>
  <c r="AF75"/>
  <c r="AB76"/>
  <c r="AD76"/>
  <c r="Z76" s="1"/>
  <c r="AF76"/>
  <c r="AB77"/>
  <c r="AD77"/>
  <c r="Z77" s="1"/>
  <c r="AF77"/>
  <c r="AB78"/>
  <c r="AD78"/>
  <c r="Z78" s="1"/>
  <c r="AF78"/>
  <c r="AB79"/>
  <c r="AD79"/>
  <c r="Z79" s="1"/>
  <c r="AF79"/>
  <c r="AB80"/>
  <c r="AD80"/>
  <c r="Z80" s="1"/>
  <c r="AF80"/>
  <c r="AB81"/>
  <c r="AD81"/>
  <c r="Z81" s="1"/>
  <c r="AF81"/>
  <c r="AB82"/>
  <c r="AD82"/>
  <c r="Z82" s="1"/>
  <c r="AF82"/>
  <c r="AB83"/>
  <c r="AD83"/>
  <c r="Z83" s="1"/>
  <c r="AF83"/>
  <c r="AB84"/>
  <c r="AD84"/>
  <c r="Z84" s="1"/>
  <c r="AF84"/>
  <c r="AB85"/>
  <c r="AD85"/>
  <c r="Z85" s="1"/>
  <c r="AF85"/>
  <c r="AB86"/>
  <c r="AD86"/>
  <c r="Z86" s="1"/>
  <c r="AF86"/>
  <c r="AB87"/>
  <c r="AD87"/>
  <c r="Z87" s="1"/>
  <c r="AF87"/>
  <c r="AB88"/>
  <c r="AD88"/>
  <c r="Z88" s="1"/>
  <c r="AF88"/>
  <c r="AB89"/>
  <c r="AD89"/>
  <c r="Z89" s="1"/>
  <c r="AF89"/>
  <c r="AB90"/>
  <c r="AD90"/>
  <c r="Z90" s="1"/>
  <c r="AF90"/>
  <c r="AZ91"/>
  <c r="AZ92"/>
  <c r="BA92"/>
  <c r="N5" i="2"/>
  <c r="O5"/>
  <c r="P5"/>
  <c r="Q5"/>
  <c r="Q26" s="1"/>
  <c r="R5"/>
  <c r="U5"/>
  <c r="V5"/>
  <c r="W5"/>
  <c r="X5"/>
  <c r="Y5"/>
  <c r="Z5"/>
  <c r="AB5"/>
  <c r="L6"/>
  <c r="M6"/>
  <c r="N6"/>
  <c r="N38" s="1"/>
  <c r="O6"/>
  <c r="P6"/>
  <c r="Q6"/>
  <c r="R6"/>
  <c r="U6"/>
  <c r="V6"/>
  <c r="W6"/>
  <c r="X6"/>
  <c r="Y6"/>
  <c r="Z6"/>
  <c r="AB6"/>
  <c r="Z7"/>
  <c r="AF9"/>
  <c r="B10"/>
  <c r="K20"/>
  <c r="W10"/>
  <c r="AB10"/>
  <c r="AB11" s="1"/>
  <c r="AF10"/>
  <c r="K11"/>
  <c r="AF11"/>
  <c r="K12"/>
  <c r="AB12"/>
  <c r="AB13" s="1"/>
  <c r="AF12"/>
  <c r="K13"/>
  <c r="AF13"/>
  <c r="K14"/>
  <c r="AB14"/>
  <c r="AB15" s="1"/>
  <c r="AF14"/>
  <c r="K15"/>
  <c r="AF15"/>
  <c r="K16"/>
  <c r="AB16"/>
  <c r="AB17" s="1"/>
  <c r="AF16"/>
  <c r="J17"/>
  <c r="K17"/>
  <c r="AF17"/>
  <c r="K18"/>
  <c r="AB18"/>
  <c r="AB19" s="1"/>
  <c r="AB20" s="1"/>
  <c r="AF18"/>
  <c r="J19"/>
  <c r="K19"/>
  <c r="AF19"/>
  <c r="AF20"/>
  <c r="AB21"/>
  <c r="AB22" s="1"/>
  <c r="AF21"/>
  <c r="J22"/>
  <c r="K22"/>
  <c r="N22"/>
  <c r="AF22"/>
  <c r="K23"/>
  <c r="K24" s="1"/>
  <c r="AF23"/>
  <c r="J24"/>
  <c r="R24" s="1"/>
  <c r="AB24"/>
  <c r="AF24"/>
  <c r="N26"/>
  <c r="R26"/>
  <c r="Z26"/>
  <c r="AB26"/>
  <c r="L30"/>
  <c r="O30"/>
  <c r="P30"/>
  <c r="Q30"/>
  <c r="R30"/>
  <c r="U30"/>
  <c r="V30"/>
  <c r="W30"/>
  <c r="X30"/>
  <c r="Y30"/>
  <c r="Z30"/>
  <c r="AA30"/>
  <c r="AB30"/>
  <c r="J32"/>
  <c r="U32"/>
  <c r="W32"/>
  <c r="Y32"/>
  <c r="AP32" s="1"/>
  <c r="F9" i="8"/>
  <c r="F10" s="1"/>
  <c r="F11" s="1"/>
  <c r="F12" s="1"/>
  <c r="F13" s="1"/>
  <c r="F14" s="1"/>
  <c r="F15" s="1"/>
  <c r="F16" s="1"/>
  <c r="F17" s="1"/>
  <c r="F18" s="1"/>
  <c r="D33" i="2"/>
  <c r="J33"/>
  <c r="U33"/>
  <c r="W33"/>
  <c r="Y33"/>
  <c r="V33"/>
  <c r="AP33"/>
  <c r="D34"/>
  <c r="J34"/>
  <c r="U34"/>
  <c r="W34"/>
  <c r="Y34"/>
  <c r="AP34" s="1"/>
  <c r="V34"/>
  <c r="D35"/>
  <c r="J35"/>
  <c r="U35"/>
  <c r="W35"/>
  <c r="Y35"/>
  <c r="V35"/>
  <c r="AP35"/>
  <c r="D36"/>
  <c r="J36"/>
  <c r="U36"/>
  <c r="W36"/>
  <c r="Y36"/>
  <c r="AP36" s="1"/>
  <c r="V36"/>
  <c r="D37"/>
  <c r="J37"/>
  <c r="U37"/>
  <c r="W37"/>
  <c r="Y37"/>
  <c r="V37"/>
  <c r="AP37"/>
  <c r="D38"/>
  <c r="J38"/>
  <c r="AP38"/>
  <c r="D39"/>
  <c r="J48"/>
  <c r="AP48"/>
  <c r="D49"/>
  <c r="J49"/>
  <c r="AP49"/>
  <c r="AZ50"/>
  <c r="BA50"/>
  <c r="AZ51"/>
  <c r="BA51"/>
  <c r="AZ52"/>
  <c r="AZ53"/>
  <c r="BA53"/>
  <c r="AZ54"/>
  <c r="BA54"/>
  <c r="N57"/>
  <c r="N58"/>
  <c r="N59"/>
  <c r="P59" s="1"/>
  <c r="AZ61"/>
  <c r="BA61"/>
  <c r="AZ62"/>
  <c r="BA62"/>
  <c r="AZ63"/>
  <c r="AZ64"/>
  <c r="BA64"/>
  <c r="AZ65"/>
  <c r="BA65"/>
  <c r="AZ66"/>
  <c r="AZ67"/>
  <c r="BA67"/>
  <c r="AZ68"/>
  <c r="BA68"/>
  <c r="AZ69"/>
  <c r="BA69"/>
  <c r="AF70"/>
  <c r="AZ70"/>
  <c r="AE74"/>
  <c r="AE75"/>
  <c r="BA75" s="1"/>
  <c r="AE77"/>
  <c r="BA77" s="1"/>
  <c r="AE78"/>
  <c r="AD79"/>
  <c r="Z79" s="1"/>
  <c r="AE79"/>
  <c r="AA79" s="1"/>
  <c r="AF79"/>
  <c r="AD80"/>
  <c r="AE80"/>
  <c r="BA80" s="1"/>
  <c r="AD81"/>
  <c r="AE81"/>
  <c r="AA81" s="1"/>
  <c r="AD82"/>
  <c r="AE82"/>
  <c r="BA82" s="1"/>
  <c r="AD83"/>
  <c r="AE83"/>
  <c r="AA83" s="1"/>
  <c r="AD84"/>
  <c r="AE84"/>
  <c r="BA84" s="1"/>
  <c r="AD85"/>
  <c r="AE85"/>
  <c r="AA85" s="1"/>
  <c r="AD86"/>
  <c r="AE86"/>
  <c r="BA86" s="1"/>
  <c r="AD87"/>
  <c r="AE87"/>
  <c r="AA87" s="1"/>
  <c r="AD88"/>
  <c r="AE88"/>
  <c r="BA88" s="1"/>
  <c r="AD89"/>
  <c r="AE89"/>
  <c r="AA89" s="1"/>
  <c r="AD90"/>
  <c r="AE90"/>
  <c r="BA90" s="1"/>
  <c r="AZ91"/>
  <c r="AZ92"/>
  <c r="BA92"/>
  <c r="E53" i="1"/>
  <c r="E28"/>
  <c r="J81"/>
  <c r="J80"/>
  <c r="J82" s="1"/>
  <c r="J44"/>
  <c r="O58" i="2" l="1"/>
  <c r="O38"/>
  <c r="N57" i="3"/>
  <c r="O59" i="4"/>
  <c r="O58"/>
  <c r="Q57"/>
  <c r="O56"/>
  <c r="W58" i="5"/>
  <c r="O57"/>
  <c r="O56"/>
  <c r="N58" i="6"/>
  <c r="N56"/>
  <c r="O56" i="3"/>
  <c r="X56"/>
  <c r="V56"/>
  <c r="W58" i="2"/>
  <c r="Q58"/>
  <c r="N56"/>
  <c r="N49"/>
  <c r="N59" i="3"/>
  <c r="N58"/>
  <c r="V57"/>
  <c r="Q58" i="4"/>
  <c r="Y57"/>
  <c r="U57"/>
  <c r="W56"/>
  <c r="Q58" i="5"/>
  <c r="Y57"/>
  <c r="U57"/>
  <c r="X33" i="6"/>
  <c r="F40" i="7"/>
  <c r="D40" s="1"/>
  <c r="F45"/>
  <c r="F46" s="1"/>
  <c r="D46" s="1"/>
  <c r="P57" i="3"/>
  <c r="X59" i="4"/>
  <c r="P59"/>
  <c r="Q56"/>
  <c r="V59" i="2"/>
  <c r="X59"/>
  <c r="Y58"/>
  <c r="U58"/>
  <c r="X59" i="3"/>
  <c r="V59"/>
  <c r="Q59"/>
  <c r="R59" s="1"/>
  <c r="P56"/>
  <c r="Q56" i="5"/>
  <c r="O48" i="6"/>
  <c r="O33"/>
  <c r="Z90" i="2"/>
  <c r="AB90"/>
  <c r="Z88"/>
  <c r="AB88"/>
  <c r="Z86"/>
  <c r="AB86"/>
  <c r="Z83"/>
  <c r="AB83"/>
  <c r="P49"/>
  <c r="O49"/>
  <c r="Z89"/>
  <c r="AB89"/>
  <c r="Z87"/>
  <c r="AB87"/>
  <c r="Z85"/>
  <c r="AB85"/>
  <c r="Z84"/>
  <c r="AB84"/>
  <c r="Z82"/>
  <c r="AB82"/>
  <c r="Z81"/>
  <c r="AB81"/>
  <c r="Z80"/>
  <c r="AB80"/>
  <c r="BA78"/>
  <c r="AC78"/>
  <c r="AZ78" s="1"/>
  <c r="AA78"/>
  <c r="BA74"/>
  <c r="AC74"/>
  <c r="AZ74" s="1"/>
  <c r="AA74"/>
  <c r="AD76"/>
  <c r="AF76"/>
  <c r="AD72"/>
  <c r="AF72"/>
  <c r="P57"/>
  <c r="V57"/>
  <c r="X57"/>
  <c r="AD77"/>
  <c r="AF77"/>
  <c r="AD75"/>
  <c r="AF75"/>
  <c r="AD73"/>
  <c r="AF73"/>
  <c r="AF71"/>
  <c r="O59"/>
  <c r="Q59"/>
  <c r="R59" s="1"/>
  <c r="U59"/>
  <c r="W59"/>
  <c r="Y59"/>
  <c r="P58"/>
  <c r="R58"/>
  <c r="V58"/>
  <c r="X58"/>
  <c r="P56"/>
  <c r="V56"/>
  <c r="X56"/>
  <c r="U37" i="3"/>
  <c r="U35"/>
  <c r="U33"/>
  <c r="Z72" i="4"/>
  <c r="AB72"/>
  <c r="Y37"/>
  <c r="AP37" s="1"/>
  <c r="V37"/>
  <c r="Y36"/>
  <c r="AP36" s="1"/>
  <c r="V36"/>
  <c r="Y35"/>
  <c r="AP35" s="1"/>
  <c r="V35"/>
  <c r="Y34"/>
  <c r="AP34" s="1"/>
  <c r="V34"/>
  <c r="Y33"/>
  <c r="AP33" s="1"/>
  <c r="V33"/>
  <c r="K23"/>
  <c r="K24" s="1"/>
  <c r="AC90" i="2"/>
  <c r="AZ90" s="1"/>
  <c r="AA90"/>
  <c r="AC88"/>
  <c r="AZ88" s="1"/>
  <c r="AA88"/>
  <c r="AC86"/>
  <c r="AZ86" s="1"/>
  <c r="AA86"/>
  <c r="AC84"/>
  <c r="AZ84" s="1"/>
  <c r="AA84"/>
  <c r="AC82"/>
  <c r="AZ82" s="1"/>
  <c r="AA82"/>
  <c r="AC80"/>
  <c r="AZ80" s="1"/>
  <c r="AA80"/>
  <c r="AA77"/>
  <c r="AF90"/>
  <c r="BA89"/>
  <c r="AF89"/>
  <c r="AF88"/>
  <c r="BA87"/>
  <c r="AF87"/>
  <c r="AF86"/>
  <c r="BA85"/>
  <c r="AF85"/>
  <c r="AF84"/>
  <c r="BA83"/>
  <c r="AF83"/>
  <c r="AF82"/>
  <c r="BA81"/>
  <c r="AF81"/>
  <c r="AF80"/>
  <c r="BA79"/>
  <c r="AB79"/>
  <c r="AC77"/>
  <c r="AZ77" s="1"/>
  <c r="AE76"/>
  <c r="AC75"/>
  <c r="AZ75" s="1"/>
  <c r="AE72"/>
  <c r="Y57"/>
  <c r="U57"/>
  <c r="O57"/>
  <c r="J21"/>
  <c r="J11"/>
  <c r="N49" i="3"/>
  <c r="AD78" i="2"/>
  <c r="AF78"/>
  <c r="AD74"/>
  <c r="AF74"/>
  <c r="N39"/>
  <c r="J39"/>
  <c r="D40"/>
  <c r="P38"/>
  <c r="Q38" s="1"/>
  <c r="E9" i="8"/>
  <c r="G9" s="1"/>
  <c r="J16" i="2"/>
  <c r="J14"/>
  <c r="J10"/>
  <c r="J12"/>
  <c r="J18"/>
  <c r="J20"/>
  <c r="J23"/>
  <c r="P38" i="3"/>
  <c r="O38"/>
  <c r="U36"/>
  <c r="U34"/>
  <c r="U32"/>
  <c r="K24"/>
  <c r="Z90" i="4"/>
  <c r="AB90"/>
  <c r="Z89"/>
  <c r="AB89"/>
  <c r="Z88"/>
  <c r="AB88"/>
  <c r="Z87"/>
  <c r="AB87"/>
  <c r="Z86"/>
  <c r="AB86"/>
  <c r="Z85"/>
  <c r="AB85"/>
  <c r="Z84"/>
  <c r="AB84"/>
  <c r="Z83"/>
  <c r="AB83"/>
  <c r="Z82"/>
  <c r="AB82"/>
  <c r="Z81"/>
  <c r="AB81"/>
  <c r="Z80"/>
  <c r="AB80"/>
  <c r="Z79"/>
  <c r="AB79"/>
  <c r="Z78"/>
  <c r="AB78"/>
  <c r="Z77"/>
  <c r="AB77"/>
  <c r="Z76"/>
  <c r="AB76"/>
  <c r="Z75"/>
  <c r="AB75"/>
  <c r="Z74"/>
  <c r="AB74"/>
  <c r="AC89" i="2"/>
  <c r="AZ89" s="1"/>
  <c r="AC87"/>
  <c r="AZ87" s="1"/>
  <c r="AC85"/>
  <c r="AZ85" s="1"/>
  <c r="AC83"/>
  <c r="AZ83" s="1"/>
  <c r="AC81"/>
  <c r="AZ81" s="1"/>
  <c r="AC79"/>
  <c r="AZ79" s="1"/>
  <c r="AA75"/>
  <c r="W57"/>
  <c r="Q57"/>
  <c r="R57" s="1"/>
  <c r="Z57" s="1"/>
  <c r="E10" i="8"/>
  <c r="G10" s="1"/>
  <c r="E12"/>
  <c r="G12" s="1"/>
  <c r="E11"/>
  <c r="G11" s="1"/>
  <c r="E13"/>
  <c r="G13" s="1"/>
  <c r="P57" i="4"/>
  <c r="R57"/>
  <c r="V57"/>
  <c r="X57"/>
  <c r="J49"/>
  <c r="Y32"/>
  <c r="AP32" s="1"/>
  <c r="W32"/>
  <c r="W33"/>
  <c r="W34"/>
  <c r="W35"/>
  <c r="W36"/>
  <c r="W37"/>
  <c r="N48"/>
  <c r="Z89" i="5"/>
  <c r="AB89"/>
  <c r="Z88"/>
  <c r="AB88"/>
  <c r="Z87"/>
  <c r="AB87"/>
  <c r="Z86"/>
  <c r="AB86"/>
  <c r="Z85"/>
  <c r="AB85"/>
  <c r="Z84"/>
  <c r="AB84"/>
  <c r="Z83"/>
  <c r="AB83"/>
  <c r="Z82"/>
  <c r="AB82"/>
  <c r="Z81"/>
  <c r="AB81"/>
  <c r="Z80"/>
  <c r="AB80"/>
  <c r="Z79"/>
  <c r="AB79"/>
  <c r="Z78"/>
  <c r="AB78"/>
  <c r="Z77"/>
  <c r="AB77"/>
  <c r="Z76"/>
  <c r="AB76"/>
  <c r="Z75"/>
  <c r="AB75"/>
  <c r="Z74"/>
  <c r="AB74"/>
  <c r="V32" i="2"/>
  <c r="AE90" i="3"/>
  <c r="AE89"/>
  <c r="AE88"/>
  <c r="AE87"/>
  <c r="AE86"/>
  <c r="AE85"/>
  <c r="AE84"/>
  <c r="AE83"/>
  <c r="AE82"/>
  <c r="AE81"/>
  <c r="AE80"/>
  <c r="AE79"/>
  <c r="AE78"/>
  <c r="AE77"/>
  <c r="AE76"/>
  <c r="AE75"/>
  <c r="AE74"/>
  <c r="AE72"/>
  <c r="Y58"/>
  <c r="W58"/>
  <c r="U58"/>
  <c r="Q58"/>
  <c r="R58" s="1"/>
  <c r="Y57"/>
  <c r="W57"/>
  <c r="U57"/>
  <c r="Q57"/>
  <c r="R57" s="1"/>
  <c r="Y56"/>
  <c r="W56"/>
  <c r="U56"/>
  <c r="Q56"/>
  <c r="R56" s="1"/>
  <c r="Z56" s="1"/>
  <c r="J49"/>
  <c r="D39"/>
  <c r="J38"/>
  <c r="Y37"/>
  <c r="AP37" s="1"/>
  <c r="W37"/>
  <c r="J37"/>
  <c r="Y36"/>
  <c r="AP36" s="1"/>
  <c r="W36"/>
  <c r="J36"/>
  <c r="Y35"/>
  <c r="AP35" s="1"/>
  <c r="W35"/>
  <c r="J35"/>
  <c r="Y34"/>
  <c r="AP34" s="1"/>
  <c r="W34"/>
  <c r="J34"/>
  <c r="Y33"/>
  <c r="AP33" s="1"/>
  <c r="W33"/>
  <c r="J33"/>
  <c r="Y32"/>
  <c r="AP32" s="1"/>
  <c r="N48"/>
  <c r="BA90" i="4"/>
  <c r="AF90"/>
  <c r="BA89"/>
  <c r="AF89"/>
  <c r="BA88"/>
  <c r="AF88"/>
  <c r="BA87"/>
  <c r="AF87"/>
  <c r="BA86"/>
  <c r="AF86"/>
  <c r="BA85"/>
  <c r="AF85"/>
  <c r="BA84"/>
  <c r="AF84"/>
  <c r="BA83"/>
  <c r="AF83"/>
  <c r="BA82"/>
  <c r="AF82"/>
  <c r="BA81"/>
  <c r="AF81"/>
  <c r="BA80"/>
  <c r="AF80"/>
  <c r="BA79"/>
  <c r="AF79"/>
  <c r="BA78"/>
  <c r="AF78"/>
  <c r="BA77"/>
  <c r="AF77"/>
  <c r="BA76"/>
  <c r="AF76"/>
  <c r="BA75"/>
  <c r="AF75"/>
  <c r="BA74"/>
  <c r="AF74"/>
  <c r="AF73"/>
  <c r="BA72"/>
  <c r="AF72"/>
  <c r="AF71"/>
  <c r="Y59"/>
  <c r="W59"/>
  <c r="U59"/>
  <c r="Q59"/>
  <c r="R59" s="1"/>
  <c r="Y58"/>
  <c r="U58"/>
  <c r="Y56"/>
  <c r="U56"/>
  <c r="V32"/>
  <c r="N32"/>
  <c r="K13"/>
  <c r="K11"/>
  <c r="P58"/>
  <c r="R58"/>
  <c r="V58"/>
  <c r="X58"/>
  <c r="P56"/>
  <c r="R56"/>
  <c r="V56"/>
  <c r="X56"/>
  <c r="N49"/>
  <c r="N38"/>
  <c r="J38"/>
  <c r="AP38"/>
  <c r="D39"/>
  <c r="J37"/>
  <c r="J36"/>
  <c r="J35"/>
  <c r="J34"/>
  <c r="J33"/>
  <c r="Z7"/>
  <c r="P49" i="5"/>
  <c r="O49"/>
  <c r="Q49"/>
  <c r="R49" s="1"/>
  <c r="Z49" s="1"/>
  <c r="AC90" i="4"/>
  <c r="AZ90" s="1"/>
  <c r="AC89"/>
  <c r="AZ89" s="1"/>
  <c r="AC88"/>
  <c r="AZ88" s="1"/>
  <c r="AC87"/>
  <c r="AZ87" s="1"/>
  <c r="AC86"/>
  <c r="AZ86" s="1"/>
  <c r="AC85"/>
  <c r="AZ85" s="1"/>
  <c r="AC84"/>
  <c r="AZ84" s="1"/>
  <c r="AC83"/>
  <c r="AZ83" s="1"/>
  <c r="AC82"/>
  <c r="AZ82" s="1"/>
  <c r="AC81"/>
  <c r="AZ81" s="1"/>
  <c r="AC80"/>
  <c r="AZ80" s="1"/>
  <c r="AC79"/>
  <c r="AZ79" s="1"/>
  <c r="AC78"/>
  <c r="AZ78" s="1"/>
  <c r="AC77"/>
  <c r="AZ77" s="1"/>
  <c r="AC76"/>
  <c r="AZ76" s="1"/>
  <c r="AC75"/>
  <c r="AZ75" s="1"/>
  <c r="AC74"/>
  <c r="AZ74" s="1"/>
  <c r="AC72"/>
  <c r="AZ72" s="1"/>
  <c r="AD90" i="5"/>
  <c r="Z69" s="1"/>
  <c r="AA89"/>
  <c r="Z70"/>
  <c r="P57"/>
  <c r="R57"/>
  <c r="V57"/>
  <c r="X57"/>
  <c r="S45"/>
  <c r="W45"/>
  <c r="Y45"/>
  <c r="S43"/>
  <c r="W43"/>
  <c r="Y43"/>
  <c r="S37"/>
  <c r="W37"/>
  <c r="Y37"/>
  <c r="S35"/>
  <c r="W35"/>
  <c r="Y35"/>
  <c r="S33"/>
  <c r="W33"/>
  <c r="Y33"/>
  <c r="AE71"/>
  <c r="P58" i="6"/>
  <c r="V58"/>
  <c r="X58"/>
  <c r="O58"/>
  <c r="Q58"/>
  <c r="R58" s="1"/>
  <c r="U58"/>
  <c r="W58"/>
  <c r="Y58"/>
  <c r="P56"/>
  <c r="V56"/>
  <c r="X56"/>
  <c r="O56"/>
  <c r="Q56"/>
  <c r="R56" s="1"/>
  <c r="U56"/>
  <c r="W56"/>
  <c r="Y56"/>
  <c r="AF89" i="5"/>
  <c r="BA88"/>
  <c r="AF88"/>
  <c r="BA87"/>
  <c r="AF87"/>
  <c r="BA86"/>
  <c r="AF86"/>
  <c r="BA85"/>
  <c r="AF85"/>
  <c r="BA84"/>
  <c r="AF84"/>
  <c r="BA83"/>
  <c r="AF83"/>
  <c r="BA82"/>
  <c r="AF82"/>
  <c r="BA81"/>
  <c r="AF81"/>
  <c r="BA80"/>
  <c r="AF80"/>
  <c r="BA79"/>
  <c r="AF79"/>
  <c r="BA78"/>
  <c r="AF78"/>
  <c r="BA77"/>
  <c r="AF77"/>
  <c r="BA76"/>
  <c r="AF76"/>
  <c r="BA75"/>
  <c r="AF75"/>
  <c r="BA74"/>
  <c r="AF74"/>
  <c r="BA73"/>
  <c r="AB72"/>
  <c r="AB71"/>
  <c r="AB70"/>
  <c r="Y58"/>
  <c r="U58"/>
  <c r="Y56"/>
  <c r="U56"/>
  <c r="Z70" i="6"/>
  <c r="Z69"/>
  <c r="P58" i="5"/>
  <c r="R58"/>
  <c r="V58"/>
  <c r="X58"/>
  <c r="P56"/>
  <c r="R56"/>
  <c r="V56"/>
  <c r="X56"/>
  <c r="J33"/>
  <c r="D34"/>
  <c r="P57" i="6"/>
  <c r="V57"/>
  <c r="X57"/>
  <c r="O57"/>
  <c r="Q57"/>
  <c r="R57" s="1"/>
  <c r="U57"/>
  <c r="W57"/>
  <c r="Y57"/>
  <c r="P49"/>
  <c r="O49"/>
  <c r="AC88" i="5"/>
  <c r="AZ88" s="1"/>
  <c r="AC87"/>
  <c r="AZ87" s="1"/>
  <c r="AC86"/>
  <c r="AZ86" s="1"/>
  <c r="AC85"/>
  <c r="AZ85" s="1"/>
  <c r="AC84"/>
  <c r="AZ84" s="1"/>
  <c r="AC83"/>
  <c r="AZ83" s="1"/>
  <c r="AC82"/>
  <c r="AZ82" s="1"/>
  <c r="AC81"/>
  <c r="AZ81" s="1"/>
  <c r="AC80"/>
  <c r="AZ80" s="1"/>
  <c r="AC79"/>
  <c r="AZ79" s="1"/>
  <c r="AC78"/>
  <c r="AZ78" s="1"/>
  <c r="AC77"/>
  <c r="AZ77" s="1"/>
  <c r="AC76"/>
  <c r="AZ76" s="1"/>
  <c r="AC75"/>
  <c r="AZ75" s="1"/>
  <c r="AC74"/>
  <c r="AZ74" s="1"/>
  <c r="AC73"/>
  <c r="AZ73" s="1"/>
  <c r="S43" i="6"/>
  <c r="W43"/>
  <c r="Y43"/>
  <c r="S37"/>
  <c r="W37"/>
  <c r="Y37"/>
  <c r="P32"/>
  <c r="X32"/>
  <c r="O32"/>
  <c r="AB89"/>
  <c r="AB88"/>
  <c r="AB87"/>
  <c r="AB86"/>
  <c r="AB85"/>
  <c r="AB84"/>
  <c r="AB83"/>
  <c r="AB82"/>
  <c r="AB81"/>
  <c r="Z81"/>
  <c r="AB80"/>
  <c r="AB79"/>
  <c r="AB78"/>
  <c r="AB77"/>
  <c r="AB76"/>
  <c r="AB75"/>
  <c r="AB74"/>
  <c r="AB73"/>
  <c r="AB72"/>
  <c r="AB71"/>
  <c r="AB70"/>
  <c r="T45"/>
  <c r="P34"/>
  <c r="X34"/>
  <c r="O34"/>
  <c r="Q34"/>
  <c r="J23" i="5"/>
  <c r="J20"/>
  <c r="J18"/>
  <c r="J16"/>
  <c r="J14"/>
  <c r="J12"/>
  <c r="J10"/>
  <c r="AC89" i="6"/>
  <c r="AZ89" s="1"/>
  <c r="AC88"/>
  <c r="AZ88" s="1"/>
  <c r="AC87"/>
  <c r="AZ87" s="1"/>
  <c r="AC86"/>
  <c r="AZ86" s="1"/>
  <c r="AC85"/>
  <c r="AZ85" s="1"/>
  <c r="AC84"/>
  <c r="AZ84" s="1"/>
  <c r="AC83"/>
  <c r="AZ83" s="1"/>
  <c r="AC82"/>
  <c r="AZ82" s="1"/>
  <c r="AC81"/>
  <c r="AZ81" s="1"/>
  <c r="AC80"/>
  <c r="AZ80" s="1"/>
  <c r="AC79"/>
  <c r="AZ79" s="1"/>
  <c r="AC78"/>
  <c r="AZ78" s="1"/>
  <c r="AC77"/>
  <c r="AZ77" s="1"/>
  <c r="AC76"/>
  <c r="AZ76" s="1"/>
  <c r="AC75"/>
  <c r="AZ75" s="1"/>
  <c r="AC74"/>
  <c r="AZ74" s="1"/>
  <c r="AC73"/>
  <c r="AZ73" s="1"/>
  <c r="AC71"/>
  <c r="AZ71" s="1"/>
  <c r="Q48"/>
  <c r="R48" s="1"/>
  <c r="Y45"/>
  <c r="W45"/>
  <c r="T43"/>
  <c r="T37"/>
  <c r="D36"/>
  <c r="J35"/>
  <c r="Q33"/>
  <c r="R33" s="1"/>
  <c r="K24"/>
  <c r="F48" i="7"/>
  <c r="F49" s="1"/>
  <c r="J12" i="1"/>
  <c r="J13"/>
  <c r="J18"/>
  <c r="J22"/>
  <c r="J36"/>
  <c r="J40"/>
  <c r="J42"/>
  <c r="J46"/>
  <c r="J48"/>
  <c r="J9"/>
  <c r="J11"/>
  <c r="J14"/>
  <c r="J15"/>
  <c r="J19"/>
  <c r="J17"/>
  <c r="J23"/>
  <c r="J21"/>
  <c r="J35"/>
  <c r="J37"/>
  <c r="J39"/>
  <c r="J41"/>
  <c r="J43"/>
  <c r="J45"/>
  <c r="J47"/>
  <c r="J10"/>
  <c r="J20"/>
  <c r="J16"/>
  <c r="J34"/>
  <c r="J49" s="1"/>
  <c r="J38"/>
  <c r="F51"/>
  <c r="O57" i="3" l="1"/>
  <c r="X57"/>
  <c r="Z57"/>
  <c r="O58"/>
  <c r="V58"/>
  <c r="P58"/>
  <c r="X58"/>
  <c r="Z58"/>
  <c r="Q49" i="2"/>
  <c r="R49" s="1"/>
  <c r="Z49" s="1"/>
  <c r="O59" i="3"/>
  <c r="U59"/>
  <c r="Y59"/>
  <c r="P59"/>
  <c r="W59"/>
  <c r="Q56" i="2"/>
  <c r="R56" s="1"/>
  <c r="W56"/>
  <c r="O56"/>
  <c r="U56"/>
  <c r="Y56"/>
  <c r="Z56" i="6"/>
  <c r="Z58"/>
  <c r="AA58" s="1"/>
  <c r="F42" i="7"/>
  <c r="F43" s="1"/>
  <c r="Z57" i="6"/>
  <c r="AA57" s="1"/>
  <c r="R38" i="2"/>
  <c r="Z38" s="1"/>
  <c r="O39"/>
  <c r="Q39" s="1"/>
  <c r="R39" s="1"/>
  <c r="Z39" s="1"/>
  <c r="P39"/>
  <c r="O38" i="4"/>
  <c r="P38"/>
  <c r="AA56" i="6"/>
  <c r="J34" i="5"/>
  <c r="D35"/>
  <c r="AA71"/>
  <c r="AC71"/>
  <c r="AZ71" s="1"/>
  <c r="BA71"/>
  <c r="U33"/>
  <c r="D40" i="4"/>
  <c r="N39"/>
  <c r="J39"/>
  <c r="AP39"/>
  <c r="U33"/>
  <c r="N33"/>
  <c r="U35"/>
  <c r="N35"/>
  <c r="U37"/>
  <c r="N37"/>
  <c r="Q48" i="3"/>
  <c r="R48" s="1"/>
  <c r="AP38"/>
  <c r="AA72"/>
  <c r="AC72"/>
  <c r="AZ72" s="1"/>
  <c r="BA72"/>
  <c r="AA74"/>
  <c r="AC74"/>
  <c r="AZ74" s="1"/>
  <c r="BA74"/>
  <c r="AA76"/>
  <c r="AC76"/>
  <c r="AZ76" s="1"/>
  <c r="BA76"/>
  <c r="AA78"/>
  <c r="AC78"/>
  <c r="AZ78" s="1"/>
  <c r="BA78"/>
  <c r="AA80"/>
  <c r="AC80"/>
  <c r="AZ80" s="1"/>
  <c r="BA80"/>
  <c r="AA82"/>
  <c r="AC82"/>
  <c r="AZ82" s="1"/>
  <c r="BA82"/>
  <c r="AA84"/>
  <c r="AC84"/>
  <c r="AZ84" s="1"/>
  <c r="BA84"/>
  <c r="AA86"/>
  <c r="AC86"/>
  <c r="AZ86" s="1"/>
  <c r="BA86"/>
  <c r="AA88"/>
  <c r="AC88"/>
  <c r="AZ88" s="1"/>
  <c r="BA88"/>
  <c r="AA90"/>
  <c r="AC90"/>
  <c r="AZ90" s="1"/>
  <c r="BA90"/>
  <c r="Q48" i="4"/>
  <c r="R48" s="1"/>
  <c r="H11" i="8"/>
  <c r="I11"/>
  <c r="K11" s="1"/>
  <c r="I12"/>
  <c r="H12"/>
  <c r="K12" s="1"/>
  <c r="AP39" i="2"/>
  <c r="Z74"/>
  <c r="AB74"/>
  <c r="Z78"/>
  <c r="AB78"/>
  <c r="BA72"/>
  <c r="AA72"/>
  <c r="AC72"/>
  <c r="AZ72" s="1"/>
  <c r="BA76"/>
  <c r="AA76"/>
  <c r="AC76"/>
  <c r="AZ76" s="1"/>
  <c r="R34" i="6"/>
  <c r="Z57" i="5"/>
  <c r="AA57" s="1"/>
  <c r="AA49"/>
  <c r="AA57" i="3"/>
  <c r="AA57" i="2"/>
  <c r="Q38" i="3"/>
  <c r="R38" s="1"/>
  <c r="Z38" s="1"/>
  <c r="N33"/>
  <c r="N35"/>
  <c r="N37"/>
  <c r="Z56" i="2"/>
  <c r="AA56" s="1"/>
  <c r="Z58"/>
  <c r="AA58" s="1"/>
  <c r="Z59"/>
  <c r="AA59" s="1"/>
  <c r="J36" i="6"/>
  <c r="D37"/>
  <c r="U35"/>
  <c r="N35"/>
  <c r="Z58" i="4"/>
  <c r="AA58" s="1"/>
  <c r="O49"/>
  <c r="P49"/>
  <c r="O32"/>
  <c r="P32"/>
  <c r="X32"/>
  <c r="U34"/>
  <c r="N34"/>
  <c r="U36"/>
  <c r="N36"/>
  <c r="N39" i="3"/>
  <c r="AP39"/>
  <c r="D40"/>
  <c r="J39"/>
  <c r="AA75"/>
  <c r="AC75"/>
  <c r="AZ75" s="1"/>
  <c r="BA75"/>
  <c r="AA77"/>
  <c r="AC77"/>
  <c r="AZ77" s="1"/>
  <c r="BA77"/>
  <c r="AA79"/>
  <c r="AC79"/>
  <c r="AZ79" s="1"/>
  <c r="BA79"/>
  <c r="AA81"/>
  <c r="AC81"/>
  <c r="AZ81" s="1"/>
  <c r="BA81"/>
  <c r="AA83"/>
  <c r="AC83"/>
  <c r="AZ83" s="1"/>
  <c r="BA83"/>
  <c r="AA85"/>
  <c r="AC85"/>
  <c r="AZ85" s="1"/>
  <c r="BA85"/>
  <c r="AA87"/>
  <c r="AC87"/>
  <c r="AZ87" s="1"/>
  <c r="BA87"/>
  <c r="AA89"/>
  <c r="AC89"/>
  <c r="AZ89" s="1"/>
  <c r="BA89"/>
  <c r="H13" i="8"/>
  <c r="I13"/>
  <c r="K13" s="1"/>
  <c r="I10"/>
  <c r="H10"/>
  <c r="K10" s="1"/>
  <c r="H9"/>
  <c r="I9"/>
  <c r="K9"/>
  <c r="D41" i="2"/>
  <c r="N40"/>
  <c r="J40"/>
  <c r="AP40"/>
  <c r="P49" i="3"/>
  <c r="O49"/>
  <c r="Z75" i="2"/>
  <c r="AB75"/>
  <c r="Z77"/>
  <c r="AB77"/>
  <c r="Z72"/>
  <c r="AB72"/>
  <c r="Z76"/>
  <c r="AB76"/>
  <c r="Z33" i="6"/>
  <c r="AA33" s="1"/>
  <c r="Z48"/>
  <c r="Q32"/>
  <c r="AA48"/>
  <c r="Q49"/>
  <c r="R49" s="1"/>
  <c r="Z49" s="1"/>
  <c r="Z56" i="5"/>
  <c r="AA56" s="1"/>
  <c r="Z58"/>
  <c r="AA58" s="1"/>
  <c r="AA56" i="3"/>
  <c r="AA58"/>
  <c r="Z57" i="4"/>
  <c r="AA57" s="1"/>
  <c r="N32" i="3"/>
  <c r="N34"/>
  <c r="N36"/>
  <c r="J24" i="1"/>
  <c r="J59"/>
  <c r="J61"/>
  <c r="J63"/>
  <c r="J65"/>
  <c r="J67"/>
  <c r="J69"/>
  <c r="J71"/>
  <c r="J73"/>
  <c r="J60"/>
  <c r="J62"/>
  <c r="J64"/>
  <c r="J66"/>
  <c r="J68"/>
  <c r="J70"/>
  <c r="J72"/>
  <c r="Q49" i="3" l="1"/>
  <c r="R49" s="1"/>
  <c r="Z49" s="1"/>
  <c r="AA49" i="2"/>
  <c r="Q38" i="4"/>
  <c r="R38" s="1"/>
  <c r="Z38" s="1"/>
  <c r="Z59" i="3"/>
  <c r="AA59" s="1"/>
  <c r="AB59" s="1"/>
  <c r="AC59" s="1"/>
  <c r="AE59" s="1"/>
  <c r="Q32" i="4"/>
  <c r="AB57"/>
  <c r="AC57" s="1"/>
  <c r="AI57"/>
  <c r="AB56" i="5"/>
  <c r="AI56"/>
  <c r="AC56"/>
  <c r="R32" i="4"/>
  <c r="AI58"/>
  <c r="AB58"/>
  <c r="AC58" s="1"/>
  <c r="AB58" i="2"/>
  <c r="AI58"/>
  <c r="AC58"/>
  <c r="Z48" i="3"/>
  <c r="AA48" s="1"/>
  <c r="AB58" i="5"/>
  <c r="AI58"/>
  <c r="AC58"/>
  <c r="AB59" i="2"/>
  <c r="AC59" s="1"/>
  <c r="AE59" s="1"/>
  <c r="AB56"/>
  <c r="AI56"/>
  <c r="AC56"/>
  <c r="AB57" i="5"/>
  <c r="AC57" s="1"/>
  <c r="AI57"/>
  <c r="AB57" i="6"/>
  <c r="AC57"/>
  <c r="AI57"/>
  <c r="AI33"/>
  <c r="AB33"/>
  <c r="AC33" s="1"/>
  <c r="N41" i="2"/>
  <c r="D42"/>
  <c r="J41"/>
  <c r="O39" i="3"/>
  <c r="P39"/>
  <c r="N48" i="5"/>
  <c r="N32"/>
  <c r="O35" i="6"/>
  <c r="P35"/>
  <c r="X35"/>
  <c r="N36"/>
  <c r="U36"/>
  <c r="AC49" i="2"/>
  <c r="AB49"/>
  <c r="AI49"/>
  <c r="P37" i="3"/>
  <c r="X37"/>
  <c r="O37"/>
  <c r="Q37"/>
  <c r="P33"/>
  <c r="X33"/>
  <c r="O33"/>
  <c r="AB57" i="2"/>
  <c r="AI57"/>
  <c r="AC57"/>
  <c r="AB57" i="3"/>
  <c r="AC57" s="1"/>
  <c r="AI57"/>
  <c r="O37" i="4"/>
  <c r="P37"/>
  <c r="X37"/>
  <c r="O35"/>
  <c r="Q35" s="1"/>
  <c r="P35"/>
  <c r="X35"/>
  <c r="O33"/>
  <c r="P33"/>
  <c r="X33"/>
  <c r="P39"/>
  <c r="O39"/>
  <c r="N34" i="5"/>
  <c r="U34"/>
  <c r="AB58" i="6"/>
  <c r="AC58" s="1"/>
  <c r="AI58"/>
  <c r="AA49" i="3"/>
  <c r="Q49" i="4"/>
  <c r="R49" s="1"/>
  <c r="Z49" s="1"/>
  <c r="Z59"/>
  <c r="AA59" s="1"/>
  <c r="Z56"/>
  <c r="AA56" s="1"/>
  <c r="Z34" i="6"/>
  <c r="AA34" s="1"/>
  <c r="Z48" i="4"/>
  <c r="AA48" s="1"/>
  <c r="AA49" i="6"/>
  <c r="P36" i="3"/>
  <c r="X36"/>
  <c r="O36"/>
  <c r="Q36" s="1"/>
  <c r="P32"/>
  <c r="X32"/>
  <c r="O32"/>
  <c r="AI58"/>
  <c r="AB58"/>
  <c r="AC58" s="1"/>
  <c r="AB48" i="6"/>
  <c r="AI48"/>
  <c r="AC48"/>
  <c r="P34" i="3"/>
  <c r="X34"/>
  <c r="O34"/>
  <c r="Q34" s="1"/>
  <c r="AB56"/>
  <c r="AC56" s="1"/>
  <c r="AI56"/>
  <c r="R32" i="6"/>
  <c r="P40" i="2"/>
  <c r="O40"/>
  <c r="N35"/>
  <c r="N36"/>
  <c r="N48"/>
  <c r="N37"/>
  <c r="N33"/>
  <c r="N32"/>
  <c r="N34"/>
  <c r="N40" i="3"/>
  <c r="J40"/>
  <c r="AP40"/>
  <c r="D41"/>
  <c r="O36" i="4"/>
  <c r="P36"/>
  <c r="X36"/>
  <c r="O34"/>
  <c r="P34"/>
  <c r="X34"/>
  <c r="J37" i="6"/>
  <c r="D38"/>
  <c r="P35" i="3"/>
  <c r="X35"/>
  <c r="O35"/>
  <c r="AB49" i="5"/>
  <c r="AC49" s="1"/>
  <c r="AI49"/>
  <c r="N40" i="4"/>
  <c r="D41"/>
  <c r="J40"/>
  <c r="D36" i="5"/>
  <c r="J35"/>
  <c r="AB56" i="6"/>
  <c r="AC56" s="1"/>
  <c r="AI56"/>
  <c r="N33" i="5"/>
  <c r="Z32" i="6"/>
  <c r="AA32" s="1"/>
  <c r="AA38" i="4"/>
  <c r="AA38" i="3"/>
  <c r="AA39" i="2"/>
  <c r="AA38"/>
  <c r="J74" i="1"/>
  <c r="Q34" i="4" l="1"/>
  <c r="Q39"/>
  <c r="R39" s="1"/>
  <c r="Z39" s="1"/>
  <c r="Q39" i="3"/>
  <c r="AE56" i="6"/>
  <c r="AJ56"/>
  <c r="AK56" s="1"/>
  <c r="AL56" s="1"/>
  <c r="AZ56"/>
  <c r="AF49" i="5"/>
  <c r="AJ49"/>
  <c r="AK49" s="1"/>
  <c r="AL49" s="1"/>
  <c r="AE49"/>
  <c r="AZ49"/>
  <c r="AB34" i="6"/>
  <c r="AC34"/>
  <c r="AI34"/>
  <c r="AB32"/>
  <c r="AC32" s="1"/>
  <c r="AI32"/>
  <c r="AE56" i="3"/>
  <c r="AJ56"/>
  <c r="AK56" s="1"/>
  <c r="AL56" s="1"/>
  <c r="AZ56"/>
  <c r="AJ58"/>
  <c r="AK58" s="1"/>
  <c r="AL58" s="1"/>
  <c r="AE58"/>
  <c r="AB48" i="4"/>
  <c r="AI48"/>
  <c r="AC48"/>
  <c r="R35"/>
  <c r="AE57"/>
  <c r="BA57" s="1"/>
  <c r="AJ57"/>
  <c r="AK57" s="1"/>
  <c r="AL57" s="1"/>
  <c r="AZ57"/>
  <c r="R34"/>
  <c r="AE57" i="3"/>
  <c r="BA57" s="1"/>
  <c r="AJ57"/>
  <c r="AK57" s="1"/>
  <c r="AL57" s="1"/>
  <c r="AZ57"/>
  <c r="R39"/>
  <c r="Z39" s="1"/>
  <c r="AE33" i="6"/>
  <c r="BA33" s="1"/>
  <c r="AZ33"/>
  <c r="AF33"/>
  <c r="AJ33"/>
  <c r="AK33" s="1"/>
  <c r="AL33" s="1"/>
  <c r="AE57" i="5"/>
  <c r="BA57" s="1"/>
  <c r="AJ57"/>
  <c r="AK57" s="1"/>
  <c r="AL57" s="1"/>
  <c r="AZ57"/>
  <c r="AB48" i="3"/>
  <c r="AC48" s="1"/>
  <c r="AI48"/>
  <c r="AE58" i="4"/>
  <c r="AJ58"/>
  <c r="AK58" s="1"/>
  <c r="AL58" s="1"/>
  <c r="AI38" i="3"/>
  <c r="AB38"/>
  <c r="AC38" s="1"/>
  <c r="AP40" i="4"/>
  <c r="AD71"/>
  <c r="N38" i="6"/>
  <c r="J38"/>
  <c r="D39"/>
  <c r="P40" i="3"/>
  <c r="O40"/>
  <c r="P34" i="2"/>
  <c r="X34"/>
  <c r="O34"/>
  <c r="Q34" s="1"/>
  <c r="R34" s="1"/>
  <c r="P33"/>
  <c r="X33"/>
  <c r="O33"/>
  <c r="Q33" s="1"/>
  <c r="R33" s="1"/>
  <c r="Q48"/>
  <c r="P35"/>
  <c r="X35"/>
  <c r="O35"/>
  <c r="Q35" s="1"/>
  <c r="R35" s="1"/>
  <c r="AE48" i="6"/>
  <c r="BA48" s="1"/>
  <c r="AZ48"/>
  <c r="AF48"/>
  <c r="AJ48"/>
  <c r="AK48" s="1"/>
  <c r="AL48" s="1"/>
  <c r="AB49"/>
  <c r="AC49" s="1"/>
  <c r="AI49"/>
  <c r="AB59" i="4"/>
  <c r="AC59" s="1"/>
  <c r="AE59" s="1"/>
  <c r="AB49" i="3"/>
  <c r="AC49" s="1"/>
  <c r="AI49"/>
  <c r="AE58" i="6"/>
  <c r="AJ58"/>
  <c r="AK58" s="1"/>
  <c r="AL58" s="1"/>
  <c r="AF49" i="2"/>
  <c r="AJ49"/>
  <c r="AK49" s="1"/>
  <c r="AL49" s="1"/>
  <c r="AZ49"/>
  <c r="AE49"/>
  <c r="P36" i="6"/>
  <c r="X36"/>
  <c r="O36"/>
  <c r="Q36" s="1"/>
  <c r="P32" i="5"/>
  <c r="X32"/>
  <c r="O32"/>
  <c r="AP41" i="2"/>
  <c r="AD71"/>
  <c r="O41"/>
  <c r="P41"/>
  <c r="AE56"/>
  <c r="AJ56"/>
  <c r="AK56" s="1"/>
  <c r="AL56" s="1"/>
  <c r="AZ56"/>
  <c r="AE58"/>
  <c r="AJ58"/>
  <c r="AK58" s="1"/>
  <c r="AL58" s="1"/>
  <c r="Q36" i="4"/>
  <c r="R36" s="1"/>
  <c r="Q40" i="2"/>
  <c r="R40" s="1"/>
  <c r="Z40" s="1"/>
  <c r="R34" i="3"/>
  <c r="R36"/>
  <c r="AA39" i="4"/>
  <c r="Q33"/>
  <c r="R33" s="1"/>
  <c r="Q37"/>
  <c r="R37" s="1"/>
  <c r="R37" i="3"/>
  <c r="Q35" i="6"/>
  <c r="R35" s="1"/>
  <c r="AI38" i="2"/>
  <c r="AB38"/>
  <c r="AC38" s="1"/>
  <c r="O40" i="4"/>
  <c r="P40"/>
  <c r="AB39" i="2"/>
  <c r="AC39" s="1"/>
  <c r="AI39"/>
  <c r="AB38" i="4"/>
  <c r="AC38" s="1"/>
  <c r="AI38"/>
  <c r="O33" i="5"/>
  <c r="P33"/>
  <c r="X33"/>
  <c r="U35"/>
  <c r="N35"/>
  <c r="J36"/>
  <c r="D37"/>
  <c r="D42" i="4"/>
  <c r="N41"/>
  <c r="J41"/>
  <c r="AP41"/>
  <c r="U37" i="6"/>
  <c r="N37"/>
  <c r="N41" i="3"/>
  <c r="J41"/>
  <c r="D42"/>
  <c r="P32" i="2"/>
  <c r="X32"/>
  <c r="O32"/>
  <c r="Q32" s="1"/>
  <c r="R32" s="1"/>
  <c r="P37"/>
  <c r="X37"/>
  <c r="O37"/>
  <c r="Q37" s="1"/>
  <c r="R37" s="1"/>
  <c r="P36"/>
  <c r="X36"/>
  <c r="O36"/>
  <c r="Q36" s="1"/>
  <c r="R36" s="1"/>
  <c r="AB56" i="4"/>
  <c r="AI56"/>
  <c r="AC56"/>
  <c r="P34" i="5"/>
  <c r="X34"/>
  <c r="O34"/>
  <c r="AE57" i="2"/>
  <c r="BA57" s="1"/>
  <c r="AJ57"/>
  <c r="AK57" s="1"/>
  <c r="AL57" s="1"/>
  <c r="AZ57"/>
  <c r="O48" i="5"/>
  <c r="P48"/>
  <c r="J42" i="2"/>
  <c r="D43"/>
  <c r="AE57" i="6"/>
  <c r="BA57" s="1"/>
  <c r="AJ57"/>
  <c r="AK57" s="1"/>
  <c r="AL57" s="1"/>
  <c r="AZ57"/>
  <c r="AE58" i="5"/>
  <c r="AJ58"/>
  <c r="AK58" s="1"/>
  <c r="AL58" s="1"/>
  <c r="AE56"/>
  <c r="AJ56"/>
  <c r="AK56" s="1"/>
  <c r="AL56" s="1"/>
  <c r="AZ56"/>
  <c r="Q35" i="3"/>
  <c r="Q32"/>
  <c r="AD71"/>
  <c r="Q33"/>
  <c r="AA49" i="4"/>
  <c r="Q41" i="2" l="1"/>
  <c r="R41" s="1"/>
  <c r="Q48" i="5"/>
  <c r="R48" s="1"/>
  <c r="Q40" i="4"/>
  <c r="R40" s="1"/>
  <c r="Z40" s="1"/>
  <c r="AA39" i="3"/>
  <c r="R48" i="2"/>
  <c r="Z48" s="1"/>
  <c r="AA48" s="1"/>
  <c r="AF38" i="4"/>
  <c r="N15" i="7" s="1"/>
  <c r="P15" s="1"/>
  <c r="AJ38" i="4"/>
  <c r="AK38" s="1"/>
  <c r="AL38" s="1"/>
  <c r="AZ38"/>
  <c r="AE38"/>
  <c r="AE38" i="2"/>
  <c r="AF38"/>
  <c r="H15" i="7" s="1"/>
  <c r="J15" s="1"/>
  <c r="AJ38" i="2"/>
  <c r="AK38" s="1"/>
  <c r="AL38" s="1"/>
  <c r="AZ38"/>
  <c r="AF32" i="6"/>
  <c r="AJ32"/>
  <c r="AE32"/>
  <c r="AZ32"/>
  <c r="Z48" i="5"/>
  <c r="Z41" i="2"/>
  <c r="AA41" s="1"/>
  <c r="AF49" i="6"/>
  <c r="AJ49"/>
  <c r="AK49" s="1"/>
  <c r="AL49" s="1"/>
  <c r="AE49"/>
  <c r="AZ49"/>
  <c r="AE38" i="3"/>
  <c r="AF38"/>
  <c r="K15" i="7" s="1"/>
  <c r="M15" s="1"/>
  <c r="AJ38" i="3"/>
  <c r="AK38" s="1"/>
  <c r="AL38" s="1"/>
  <c r="AZ38"/>
  <c r="AB49" i="4"/>
  <c r="AI49"/>
  <c r="AC49"/>
  <c r="R33" i="3"/>
  <c r="R32"/>
  <c r="R35"/>
  <c r="D44" i="2"/>
  <c r="J43"/>
  <c r="E15" i="8"/>
  <c r="G15" s="1"/>
  <c r="D43" i="3"/>
  <c r="J42"/>
  <c r="O37" i="6"/>
  <c r="P37"/>
  <c r="X37"/>
  <c r="J42" i="4"/>
  <c r="D43"/>
  <c r="N36" i="5"/>
  <c r="U36"/>
  <c r="AF39" i="2"/>
  <c r="H16" i="7" s="1"/>
  <c r="J16" s="1"/>
  <c r="AJ39" i="2"/>
  <c r="AK39" s="1"/>
  <c r="AL39" s="1"/>
  <c r="AZ39"/>
  <c r="AE39"/>
  <c r="BA39" s="1"/>
  <c r="BA56"/>
  <c r="AE60"/>
  <c r="E35" i="7" s="1"/>
  <c r="G35" s="1"/>
  <c r="T10" i="2"/>
  <c r="BA49"/>
  <c r="AE73"/>
  <c r="AF49" i="3"/>
  <c r="AJ49"/>
  <c r="AK49" s="1"/>
  <c r="AL49" s="1"/>
  <c r="AZ49"/>
  <c r="AE49"/>
  <c r="N39" i="6"/>
  <c r="D40"/>
  <c r="J39"/>
  <c r="P38"/>
  <c r="O38"/>
  <c r="Q38" s="1"/>
  <c r="R38" s="1"/>
  <c r="Z38" s="1"/>
  <c r="AF48" i="3"/>
  <c r="AJ48"/>
  <c r="AK48" s="1"/>
  <c r="AL48" s="1"/>
  <c r="AZ48"/>
  <c r="AE48"/>
  <c r="AB39"/>
  <c r="AC39" s="1"/>
  <c r="AI39"/>
  <c r="AE48" i="4"/>
  <c r="AF48"/>
  <c r="AZ48"/>
  <c r="AJ48"/>
  <c r="AK48" s="1"/>
  <c r="AL48" s="1"/>
  <c r="AF34" i="6"/>
  <c r="AJ34"/>
  <c r="AK34" s="1"/>
  <c r="AL34" s="1"/>
  <c r="AE34"/>
  <c r="BA34" s="1"/>
  <c r="AZ34"/>
  <c r="BA56"/>
  <c r="AE59"/>
  <c r="AE62" s="1"/>
  <c r="BA62" s="1"/>
  <c r="Q33" i="5"/>
  <c r="R33" s="1"/>
  <c r="R36" i="6"/>
  <c r="BA56" i="5"/>
  <c r="AE62"/>
  <c r="BA62" s="1"/>
  <c r="AE59"/>
  <c r="N42" i="2"/>
  <c r="U42"/>
  <c r="E14" i="8"/>
  <c r="G14" s="1"/>
  <c r="V42" i="2"/>
  <c r="Y42"/>
  <c r="AP42" s="1"/>
  <c r="W42"/>
  <c r="AE56" i="4"/>
  <c r="AJ56"/>
  <c r="AK56" s="1"/>
  <c r="AL56" s="1"/>
  <c r="AZ56"/>
  <c r="AP41" i="3"/>
  <c r="O41"/>
  <c r="Q41" s="1"/>
  <c r="P41"/>
  <c r="P41" i="4"/>
  <c r="O41"/>
  <c r="D38" i="5"/>
  <c r="J37"/>
  <c r="O35"/>
  <c r="P35"/>
  <c r="X35"/>
  <c r="AI39" i="4"/>
  <c r="AB39"/>
  <c r="AC39" s="1"/>
  <c r="BA56" i="3"/>
  <c r="AE60"/>
  <c r="AE63" s="1"/>
  <c r="BA63" s="1"/>
  <c r="BA49" i="5"/>
  <c r="AE72"/>
  <c r="Z35" i="6"/>
  <c r="AA35" s="1"/>
  <c r="AA48" i="5"/>
  <c r="Q34"/>
  <c r="Z33"/>
  <c r="AA40" i="4"/>
  <c r="Q32" i="5"/>
  <c r="Q40" i="3"/>
  <c r="R40" s="1"/>
  <c r="Z40" s="1"/>
  <c r="AA40" i="2"/>
  <c r="R41" i="3" l="1"/>
  <c r="Z41" s="1"/>
  <c r="AA41" s="1"/>
  <c r="AI48" i="2"/>
  <c r="AB48"/>
  <c r="AC48" s="1"/>
  <c r="Q35" i="5"/>
  <c r="Q41" i="4"/>
  <c r="R41" s="1"/>
  <c r="Z41" s="1"/>
  <c r="AE63" i="2"/>
  <c r="BA63" s="1"/>
  <c r="Q37" i="6"/>
  <c r="AI35"/>
  <c r="AB35"/>
  <c r="AC35" s="1"/>
  <c r="AE39" i="4"/>
  <c r="BA39" s="1"/>
  <c r="AF39"/>
  <c r="N16" i="7" s="1"/>
  <c r="P16" s="1"/>
  <c r="AJ39" i="4"/>
  <c r="AK39" s="1"/>
  <c r="AL39" s="1"/>
  <c r="AZ39"/>
  <c r="R35" i="5"/>
  <c r="R37" i="6"/>
  <c r="Z37"/>
  <c r="AI40" i="2"/>
  <c r="AB40"/>
  <c r="AC40" s="1"/>
  <c r="R32" i="5"/>
  <c r="R34"/>
  <c r="AA72"/>
  <c r="AC72"/>
  <c r="AZ72" s="1"/>
  <c r="BA72"/>
  <c r="BA56" i="4"/>
  <c r="AE60"/>
  <c r="AE63" s="1"/>
  <c r="BA63" s="1"/>
  <c r="I14" i="8"/>
  <c r="H14"/>
  <c r="K14" s="1"/>
  <c r="P42" i="2"/>
  <c r="X42"/>
  <c r="O42"/>
  <c r="Q42" s="1"/>
  <c r="R42" s="1"/>
  <c r="BA48" i="4"/>
  <c r="S10"/>
  <c r="AF39" i="3"/>
  <c r="K16" i="7" s="1"/>
  <c r="M16" s="1"/>
  <c r="AJ39" i="3"/>
  <c r="AK39" s="1"/>
  <c r="AL39" s="1"/>
  <c r="AZ39"/>
  <c r="AE39"/>
  <c r="BA39" s="1"/>
  <c r="S10"/>
  <c r="BA48"/>
  <c r="N40" i="6"/>
  <c r="J40"/>
  <c r="D41"/>
  <c r="O39"/>
  <c r="P39"/>
  <c r="P36" i="5"/>
  <c r="X36"/>
  <c r="O36"/>
  <c r="U42" i="4"/>
  <c r="N42"/>
  <c r="J43"/>
  <c r="D44"/>
  <c r="N42" i="3"/>
  <c r="U42"/>
  <c r="V42"/>
  <c r="Y42"/>
  <c r="AP42" s="1"/>
  <c r="W42"/>
  <c r="H15" i="8"/>
  <c r="I15"/>
  <c r="K15" s="1"/>
  <c r="N43" i="2"/>
  <c r="U43"/>
  <c r="V43"/>
  <c r="W43"/>
  <c r="Y43"/>
  <c r="AP43" s="1"/>
  <c r="AE49" i="4"/>
  <c r="AJ49"/>
  <c r="AK49" s="1"/>
  <c r="AL49" s="1"/>
  <c r="AF49"/>
  <c r="AZ49"/>
  <c r="AB41" i="2"/>
  <c r="AC41" s="1"/>
  <c r="AI41"/>
  <c r="AK32" i="6"/>
  <c r="BA38" i="2"/>
  <c r="AA41" i="4"/>
  <c r="AA38" i="6"/>
  <c r="G16" i="7"/>
  <c r="E16" s="1"/>
  <c r="AA33" i="5"/>
  <c r="AB40" i="4"/>
  <c r="AC40" s="1"/>
  <c r="AI40"/>
  <c r="AB48" i="5"/>
  <c r="AC48" s="1"/>
  <c r="AI48"/>
  <c r="U37"/>
  <c r="N37"/>
  <c r="N38"/>
  <c r="J38"/>
  <c r="D39"/>
  <c r="T10" i="3"/>
  <c r="BA49"/>
  <c r="AE73"/>
  <c r="BA73" i="2"/>
  <c r="Y42" i="4"/>
  <c r="AP42" s="1"/>
  <c r="V42"/>
  <c r="W42"/>
  <c r="D44" i="3"/>
  <c r="J43"/>
  <c r="D45" i="2"/>
  <c r="J44"/>
  <c r="BA38" i="3"/>
  <c r="BA49" i="6"/>
  <c r="AE72"/>
  <c r="BA32"/>
  <c r="BA38" i="4"/>
  <c r="Z36" i="6"/>
  <c r="AA36" s="1"/>
  <c r="Z32" i="5"/>
  <c r="AA32" s="1"/>
  <c r="Z34"/>
  <c r="AA34" s="1"/>
  <c r="AA40" i="3"/>
  <c r="G15" i="7"/>
  <c r="E15" s="1"/>
  <c r="K66" i="1"/>
  <c r="Q39" i="6" l="1"/>
  <c r="R39" s="1"/>
  <c r="AF48" i="2"/>
  <c r="AZ48"/>
  <c r="AJ48"/>
  <c r="AK48" s="1"/>
  <c r="AL48" s="1"/>
  <c r="AE48"/>
  <c r="AB41" i="3"/>
  <c r="AC41" s="1"/>
  <c r="AI41"/>
  <c r="AA37" i="6"/>
  <c r="AI37" s="1"/>
  <c r="Z35" i="5"/>
  <c r="AA35" s="1"/>
  <c r="AB32"/>
  <c r="AC32" s="1"/>
  <c r="AI32"/>
  <c r="AF41" i="2"/>
  <c r="H18" i="7" s="1"/>
  <c r="J18" s="1"/>
  <c r="AJ41" i="2"/>
  <c r="AK41" s="1"/>
  <c r="AL41" s="1"/>
  <c r="AZ41"/>
  <c r="AE41"/>
  <c r="BA41" s="1"/>
  <c r="AB34" i="5"/>
  <c r="AC34" s="1"/>
  <c r="AI34"/>
  <c r="AB36" i="6"/>
  <c r="AC36" s="1"/>
  <c r="AI36"/>
  <c r="AF40" i="4"/>
  <c r="N17" i="7" s="1"/>
  <c r="P17" s="1"/>
  <c r="AJ40" i="4"/>
  <c r="AK40" s="1"/>
  <c r="AL40" s="1"/>
  <c r="AZ40"/>
  <c r="AE40"/>
  <c r="Z39" i="6"/>
  <c r="AA39" s="1"/>
  <c r="AE40" i="2"/>
  <c r="AF40"/>
  <c r="H17" i="7" s="1"/>
  <c r="J17" s="1"/>
  <c r="AJ40" i="2"/>
  <c r="AK40" s="1"/>
  <c r="AL40" s="1"/>
  <c r="AZ40"/>
  <c r="AE35" i="6"/>
  <c r="AZ35"/>
  <c r="AF35"/>
  <c r="AJ35"/>
  <c r="AI40" i="3"/>
  <c r="AB40"/>
  <c r="AC40" s="1"/>
  <c r="D46" i="2"/>
  <c r="J45"/>
  <c r="E17" i="8"/>
  <c r="G17" s="1"/>
  <c r="D45" i="3"/>
  <c r="J44"/>
  <c r="N39" i="5"/>
  <c r="D40"/>
  <c r="J39"/>
  <c r="P38"/>
  <c r="O38"/>
  <c r="Q38" s="1"/>
  <c r="O37"/>
  <c r="P37"/>
  <c r="X37"/>
  <c r="AE48"/>
  <c r="BA48" s="1"/>
  <c r="AZ48"/>
  <c r="AJ48"/>
  <c r="AK48" s="1"/>
  <c r="AL48" s="1"/>
  <c r="AF48"/>
  <c r="AI41" i="4"/>
  <c r="AB41"/>
  <c r="AC41" s="1"/>
  <c r="AL32" i="6"/>
  <c r="P43" i="2"/>
  <c r="X43"/>
  <c r="O43"/>
  <c r="Q43" s="1"/>
  <c r="R43" s="1"/>
  <c r="Y43" i="4"/>
  <c r="AP43" s="1"/>
  <c r="V43"/>
  <c r="W43"/>
  <c r="Q36" i="5"/>
  <c r="AA72" i="6"/>
  <c r="AC72"/>
  <c r="AZ72" s="1"/>
  <c r="BA72"/>
  <c r="N44" i="2"/>
  <c r="U44"/>
  <c r="E16" i="8"/>
  <c r="G16" s="1"/>
  <c r="V44" i="2"/>
  <c r="Y44"/>
  <c r="AP44" s="1"/>
  <c r="W44"/>
  <c r="N43" i="3"/>
  <c r="U43"/>
  <c r="V43"/>
  <c r="Y43"/>
  <c r="AP43" s="1"/>
  <c r="W43"/>
  <c r="BA73"/>
  <c r="AI33" i="5"/>
  <c r="AB33"/>
  <c r="AC33" s="1"/>
  <c r="AB38" i="6"/>
  <c r="AC38" s="1"/>
  <c r="AI38"/>
  <c r="S10" i="2"/>
  <c r="BA48"/>
  <c r="T10" i="4"/>
  <c r="BA49"/>
  <c r="AE73"/>
  <c r="P42" i="3"/>
  <c r="X42"/>
  <c r="O42"/>
  <c r="U43" i="4"/>
  <c r="N43"/>
  <c r="J44"/>
  <c r="D45"/>
  <c r="O42"/>
  <c r="P42"/>
  <c r="X42"/>
  <c r="N41" i="6"/>
  <c r="D42"/>
  <c r="J41"/>
  <c r="P40"/>
  <c r="O40"/>
  <c r="K40" i="1"/>
  <c r="K67"/>
  <c r="K43"/>
  <c r="K15"/>
  <c r="K41"/>
  <c r="Q37" i="5" l="1"/>
  <c r="R37" s="1"/>
  <c r="AB37" i="6"/>
  <c r="AC37" s="1"/>
  <c r="AF41" i="3"/>
  <c r="K18" i="7" s="1"/>
  <c r="M18" s="1"/>
  <c r="AZ41" i="3"/>
  <c r="AJ41"/>
  <c r="AK41" s="1"/>
  <c r="AL41" s="1"/>
  <c r="AE41"/>
  <c r="BA41" s="1"/>
  <c r="AB35" i="5"/>
  <c r="AC35" s="1"/>
  <c r="AI35"/>
  <c r="Q42" i="4"/>
  <c r="R42" s="1"/>
  <c r="AE41"/>
  <c r="BA41" s="1"/>
  <c r="AF41"/>
  <c r="N18" i="7" s="1"/>
  <c r="P18" s="1"/>
  <c r="G18" s="1"/>
  <c r="E18" s="1"/>
  <c r="AJ41" i="4"/>
  <c r="AK41" s="1"/>
  <c r="AL41" s="1"/>
  <c r="AZ41"/>
  <c r="AF34" i="5"/>
  <c r="AJ34"/>
  <c r="AK34" s="1"/>
  <c r="AL34" s="1"/>
  <c r="AE34"/>
  <c r="BA34" s="1"/>
  <c r="AZ34"/>
  <c r="AF32"/>
  <c r="AJ32"/>
  <c r="AE32"/>
  <c r="AZ32"/>
  <c r="AE33"/>
  <c r="BA33" s="1"/>
  <c r="AZ33"/>
  <c r="AF33"/>
  <c r="AJ33"/>
  <c r="AK33" s="1"/>
  <c r="AL33" s="1"/>
  <c r="AE40" i="3"/>
  <c r="AF40"/>
  <c r="K17" i="7" s="1"/>
  <c r="M17" s="1"/>
  <c r="AJ40" i="3"/>
  <c r="AK40" s="1"/>
  <c r="AL40" s="1"/>
  <c r="AZ40"/>
  <c r="AE37" i="6"/>
  <c r="BA37" s="1"/>
  <c r="AZ37"/>
  <c r="AF37"/>
  <c r="AJ37"/>
  <c r="AK37" s="1"/>
  <c r="AL37" s="1"/>
  <c r="AB39"/>
  <c r="AI39"/>
  <c r="AC39"/>
  <c r="AE35" i="5"/>
  <c r="BA35" s="1"/>
  <c r="AZ35"/>
  <c r="AF35"/>
  <c r="AJ35"/>
  <c r="AK35" s="1"/>
  <c r="AL35" s="1"/>
  <c r="J42" i="6"/>
  <c r="D43"/>
  <c r="O41"/>
  <c r="P41"/>
  <c r="Y44" i="4"/>
  <c r="AP44" s="1"/>
  <c r="V44"/>
  <c r="W44"/>
  <c r="BA73"/>
  <c r="P43" i="3"/>
  <c r="X43"/>
  <c r="O43"/>
  <c r="Q43" s="1"/>
  <c r="I16" i="8"/>
  <c r="H16"/>
  <c r="K16" s="1"/>
  <c r="P44" i="2"/>
  <c r="X44"/>
  <c r="O44"/>
  <c r="Q44" s="1"/>
  <c r="R44" s="1"/>
  <c r="R36" i="5"/>
  <c r="D46" i="3"/>
  <c r="J45"/>
  <c r="H17" i="8"/>
  <c r="I17"/>
  <c r="K17"/>
  <c r="N45" i="2"/>
  <c r="U45"/>
  <c r="J46"/>
  <c r="BA35" i="6"/>
  <c r="BA40" i="4"/>
  <c r="AE71"/>
  <c r="Q40" i="6"/>
  <c r="R40" s="1"/>
  <c r="Z40" s="1"/>
  <c r="Q42" i="3"/>
  <c r="Z37" i="5"/>
  <c r="AA37" s="1"/>
  <c r="R38"/>
  <c r="Z38" s="1"/>
  <c r="Z36"/>
  <c r="AA36" s="1"/>
  <c r="G17" i="7"/>
  <c r="E17" s="1"/>
  <c r="U44" i="4"/>
  <c r="N44"/>
  <c r="J45"/>
  <c r="D46"/>
  <c r="O43"/>
  <c r="P43"/>
  <c r="X43"/>
  <c r="AJ38" i="6"/>
  <c r="AK38" s="1"/>
  <c r="AL38" s="1"/>
  <c r="AE38"/>
  <c r="AZ38"/>
  <c r="N40" i="5"/>
  <c r="J40"/>
  <c r="D41"/>
  <c r="O39"/>
  <c r="P39"/>
  <c r="N44" i="3"/>
  <c r="U44"/>
  <c r="V44"/>
  <c r="Y44"/>
  <c r="AP44" s="1"/>
  <c r="W44"/>
  <c r="V45" i="2"/>
  <c r="W45"/>
  <c r="Y45"/>
  <c r="AP45" s="1"/>
  <c r="AK35" i="6"/>
  <c r="BA40" i="2"/>
  <c r="AE71"/>
  <c r="AF36" i="6"/>
  <c r="AJ36"/>
  <c r="AK36" s="1"/>
  <c r="AL36" s="1"/>
  <c r="AE36"/>
  <c r="BA36" s="1"/>
  <c r="AZ36"/>
  <c r="K42" i="1"/>
  <c r="K65"/>
  <c r="K89"/>
  <c r="K18"/>
  <c r="Q39" i="5" l="1"/>
  <c r="R39" s="1"/>
  <c r="Q41" i="6"/>
  <c r="R41" s="1"/>
  <c r="Z41" s="1"/>
  <c r="AA41" s="1"/>
  <c r="AA38" i="5"/>
  <c r="Z39"/>
  <c r="AA39" s="1"/>
  <c r="AB36"/>
  <c r="AC36" s="1"/>
  <c r="AI36"/>
  <c r="AL35" i="6"/>
  <c r="P44" i="3"/>
  <c r="X44"/>
  <c r="O44"/>
  <c r="Q44" s="1"/>
  <c r="N41" i="5"/>
  <c r="D42"/>
  <c r="J41"/>
  <c r="P40"/>
  <c r="O40"/>
  <c r="Q40" s="1"/>
  <c r="R40" s="1"/>
  <c r="Z40" s="1"/>
  <c r="Y45" i="4"/>
  <c r="AP45" s="1"/>
  <c r="V45"/>
  <c r="W45"/>
  <c r="S32"/>
  <c r="S36"/>
  <c r="S44"/>
  <c r="S33"/>
  <c r="S37"/>
  <c r="S45"/>
  <c r="AI37" i="5"/>
  <c r="AB37"/>
  <c r="AC37" s="1"/>
  <c r="V46" i="2"/>
  <c r="W46"/>
  <c r="Y46"/>
  <c r="AP46" s="1"/>
  <c r="AP51" s="1"/>
  <c r="T45"/>
  <c r="T37"/>
  <c r="AD70"/>
  <c r="T44"/>
  <c r="T36"/>
  <c r="T32"/>
  <c r="T43"/>
  <c r="T35"/>
  <c r="AD52"/>
  <c r="AD66" s="1"/>
  <c r="T46"/>
  <c r="T42"/>
  <c r="T34"/>
  <c r="J46" i="3"/>
  <c r="N42" i="6"/>
  <c r="U42"/>
  <c r="AB38" i="5"/>
  <c r="AC38" s="1"/>
  <c r="AI38"/>
  <c r="AK32"/>
  <c r="Q43" i="4"/>
  <c r="R43" s="1"/>
  <c r="R43" i="3"/>
  <c r="S45" i="2"/>
  <c r="S44"/>
  <c r="S36"/>
  <c r="S32"/>
  <c r="S37"/>
  <c r="S33"/>
  <c r="T45" i="4"/>
  <c r="T37"/>
  <c r="T33"/>
  <c r="T33" i="2"/>
  <c r="BA71"/>
  <c r="AF38" i="6"/>
  <c r="BA38"/>
  <c r="U45" i="4"/>
  <c r="N45"/>
  <c r="J46"/>
  <c r="O44"/>
  <c r="P44"/>
  <c r="X44"/>
  <c r="R42" i="3"/>
  <c r="BA71" i="4"/>
  <c r="N46" i="2"/>
  <c r="U46"/>
  <c r="E18" i="8"/>
  <c r="G18" s="1"/>
  <c r="P45" i="2"/>
  <c r="X45"/>
  <c r="O45"/>
  <c r="N45" i="3"/>
  <c r="U45"/>
  <c r="V45"/>
  <c r="Y45"/>
  <c r="AP45" s="1"/>
  <c r="W45"/>
  <c r="S32"/>
  <c r="S36"/>
  <c r="S44"/>
  <c r="S46"/>
  <c r="T32"/>
  <c r="T34"/>
  <c r="T36"/>
  <c r="T42"/>
  <c r="T44"/>
  <c r="T46"/>
  <c r="S33"/>
  <c r="S35"/>
  <c r="S37"/>
  <c r="S43"/>
  <c r="S45"/>
  <c r="T33"/>
  <c r="T35"/>
  <c r="T37"/>
  <c r="T43"/>
  <c r="T45"/>
  <c r="AD70"/>
  <c r="D44" i="6"/>
  <c r="J43"/>
  <c r="AE39"/>
  <c r="AZ39"/>
  <c r="AJ39"/>
  <c r="AK39" s="1"/>
  <c r="AL39" s="1"/>
  <c r="BA40" i="3"/>
  <c r="AE71"/>
  <c r="BA32" i="5"/>
  <c r="S46" i="2"/>
  <c r="S42"/>
  <c r="S34"/>
  <c r="S43"/>
  <c r="S35"/>
  <c r="T46" i="4"/>
  <c r="T44"/>
  <c r="T42"/>
  <c r="T36"/>
  <c r="T34"/>
  <c r="T32"/>
  <c r="AD70"/>
  <c r="AA40" i="6"/>
  <c r="K17" i="1"/>
  <c r="Z43" i="3" l="1"/>
  <c r="Z44" i="2"/>
  <c r="AA44" s="1"/>
  <c r="AB44" s="1"/>
  <c r="Z37" i="3"/>
  <c r="AA37" s="1"/>
  <c r="AB39" i="5"/>
  <c r="AI39"/>
  <c r="AC39"/>
  <c r="AJ38"/>
  <c r="AK38" s="1"/>
  <c r="AL38" s="1"/>
  <c r="AE38"/>
  <c r="AZ38"/>
  <c r="AE37"/>
  <c r="BA37" s="1"/>
  <c r="AZ37"/>
  <c r="AF37"/>
  <c r="AJ37"/>
  <c r="AK37" s="1"/>
  <c r="AL37" s="1"/>
  <c r="AF36"/>
  <c r="AJ36"/>
  <c r="AE36"/>
  <c r="AZ36"/>
  <c r="AA43" i="3"/>
  <c r="AB40" i="6"/>
  <c r="AC40" s="1"/>
  <c r="AI40"/>
  <c r="AA35" i="2"/>
  <c r="Z35"/>
  <c r="AA34"/>
  <c r="Z34"/>
  <c r="BA71" i="3"/>
  <c r="AF39" i="6"/>
  <c r="BA39"/>
  <c r="AD91" i="3"/>
  <c r="Z70"/>
  <c r="AB37"/>
  <c r="AC37"/>
  <c r="AI37"/>
  <c r="AA33"/>
  <c r="Z33"/>
  <c r="AA36"/>
  <c r="Z36"/>
  <c r="Z32"/>
  <c r="AA32" s="1"/>
  <c r="U46" i="4"/>
  <c r="N46"/>
  <c r="Z37" i="2"/>
  <c r="AA37" s="1"/>
  <c r="Z36"/>
  <c r="AA36" s="1"/>
  <c r="V46" i="3"/>
  <c r="Y46"/>
  <c r="AP46" s="1"/>
  <c r="AP51" s="1"/>
  <c r="AP53" i="4" s="1"/>
  <c r="W46" i="3"/>
  <c r="AD52"/>
  <c r="AD66" s="1"/>
  <c r="Z37" i="4"/>
  <c r="AA37" s="1"/>
  <c r="Z33"/>
  <c r="AA33" s="1"/>
  <c r="Z36"/>
  <c r="AA36" s="1"/>
  <c r="Z32"/>
  <c r="AA32" s="1"/>
  <c r="J42" i="5"/>
  <c r="D43"/>
  <c r="O41"/>
  <c r="P41"/>
  <c r="AB41" i="6"/>
  <c r="AI41"/>
  <c r="AC41"/>
  <c r="Q44" i="4"/>
  <c r="R44" s="1"/>
  <c r="AA40" i="5"/>
  <c r="R44" i="3"/>
  <c r="AD91" i="4"/>
  <c r="Z70"/>
  <c r="Z43" i="2"/>
  <c r="AA43" s="1"/>
  <c r="Z42"/>
  <c r="AA42" s="1"/>
  <c r="U43" i="6"/>
  <c r="N43"/>
  <c r="J44"/>
  <c r="D45"/>
  <c r="Z35" i="3"/>
  <c r="AA35" s="1"/>
  <c r="P45"/>
  <c r="X45"/>
  <c r="O45"/>
  <c r="I18" i="8"/>
  <c r="K18"/>
  <c r="H18"/>
  <c r="P46" i="2"/>
  <c r="X46"/>
  <c r="O46"/>
  <c r="Q46" s="1"/>
  <c r="R46" s="1"/>
  <c r="Y46" i="4"/>
  <c r="AP46" s="1"/>
  <c r="AP51" s="1"/>
  <c r="V46"/>
  <c r="W46"/>
  <c r="AD52"/>
  <c r="AD66" s="1"/>
  <c r="O45"/>
  <c r="P45"/>
  <c r="X45"/>
  <c r="Z33" i="2"/>
  <c r="AA33" s="1"/>
  <c r="Z32"/>
  <c r="AA32" s="1"/>
  <c r="AL32" i="5"/>
  <c r="P42" i="6"/>
  <c r="X42"/>
  <c r="O42"/>
  <c r="N46" i="3"/>
  <c r="U46"/>
  <c r="AD91" i="2"/>
  <c r="Z70" s="1"/>
  <c r="S42" i="3"/>
  <c r="Z42" s="1"/>
  <c r="S34"/>
  <c r="Z34" s="1"/>
  <c r="AA34" s="1"/>
  <c r="Q45" i="2"/>
  <c r="T35" i="4"/>
  <c r="T43"/>
  <c r="S43"/>
  <c r="S35"/>
  <c r="S46"/>
  <c r="S42"/>
  <c r="S34"/>
  <c r="K81" i="1"/>
  <c r="K68"/>
  <c r="K80"/>
  <c r="K16"/>
  <c r="AI44" i="2" l="1"/>
  <c r="Q41" i="5"/>
  <c r="R41" s="1"/>
  <c r="Z41" s="1"/>
  <c r="AC44" i="2"/>
  <c r="Q45" i="4"/>
  <c r="R45" s="1"/>
  <c r="AB33" i="2"/>
  <c r="AI33"/>
  <c r="AC33"/>
  <c r="AB35" i="3"/>
  <c r="AC35" s="1"/>
  <c r="AI35"/>
  <c r="AB36" i="2"/>
  <c r="AC36" s="1"/>
  <c r="AI36"/>
  <c r="Z46"/>
  <c r="AA46" s="1"/>
  <c r="AB32"/>
  <c r="AC32" s="1"/>
  <c r="AI32"/>
  <c r="AB43"/>
  <c r="AC43" s="1"/>
  <c r="AI43"/>
  <c r="AJ40" i="6"/>
  <c r="AE40"/>
  <c r="AZ40"/>
  <c r="Z34" i="4"/>
  <c r="AA34" s="1"/>
  <c r="R45" i="2"/>
  <c r="P46" i="3"/>
  <c r="X46"/>
  <c r="O46"/>
  <c r="Q46" s="1"/>
  <c r="N44" i="6"/>
  <c r="U44"/>
  <c r="AB73" i="4"/>
  <c r="Z73"/>
  <c r="Z71"/>
  <c r="AB71"/>
  <c r="AE41" i="6"/>
  <c r="AZ41"/>
  <c r="AJ41"/>
  <c r="AK41" s="1"/>
  <c r="AL41" s="1"/>
  <c r="N42" i="5"/>
  <c r="U42"/>
  <c r="O46" i="4"/>
  <c r="P46"/>
  <c r="Q46" s="1"/>
  <c r="R46" s="1"/>
  <c r="X46"/>
  <c r="AB73" i="3"/>
  <c r="Z73"/>
  <c r="AB71"/>
  <c r="Z71"/>
  <c r="AB43"/>
  <c r="AC43" s="1"/>
  <c r="AI43"/>
  <c r="AK36" i="5"/>
  <c r="Z43" i="4"/>
  <c r="AA43" s="1"/>
  <c r="Z44"/>
  <c r="AA42" i="3"/>
  <c r="Q42" i="6"/>
  <c r="Q45" i="3"/>
  <c r="Z44"/>
  <c r="AA44" s="1"/>
  <c r="AA41" i="5"/>
  <c r="Z45" i="2"/>
  <c r="AA45" s="1"/>
  <c r="Z42" i="4"/>
  <c r="AA42" s="1"/>
  <c r="Z35"/>
  <c r="AA35" s="1"/>
  <c r="AB34" i="3"/>
  <c r="AC34" s="1"/>
  <c r="AI34"/>
  <c r="AB73" i="2"/>
  <c r="Z73"/>
  <c r="Z71"/>
  <c r="AB71"/>
  <c r="J45" i="6"/>
  <c r="D46"/>
  <c r="O43"/>
  <c r="P43"/>
  <c r="X43"/>
  <c r="AB42" i="2"/>
  <c r="AC42" s="1"/>
  <c r="AI42"/>
  <c r="AB40" i="5"/>
  <c r="AC40" s="1"/>
  <c r="AI40"/>
  <c r="D44"/>
  <c r="J43"/>
  <c r="AI32" i="4"/>
  <c r="AB32"/>
  <c r="AC32" s="1"/>
  <c r="AI36"/>
  <c r="AB36"/>
  <c r="AC36" s="1"/>
  <c r="AI33"/>
  <c r="AB33"/>
  <c r="AC33" s="1"/>
  <c r="AI37"/>
  <c r="AB37"/>
  <c r="AC37" s="1"/>
  <c r="AB37" i="2"/>
  <c r="AI37"/>
  <c r="AC37"/>
  <c r="AB32" i="3"/>
  <c r="AC32" s="1"/>
  <c r="AI32"/>
  <c r="AB36"/>
  <c r="AC36" s="1"/>
  <c r="AI36"/>
  <c r="AB33"/>
  <c r="AC33" s="1"/>
  <c r="AI33"/>
  <c r="AF37"/>
  <c r="K14" i="7" s="1"/>
  <c r="M14" s="1"/>
  <c r="AJ37" i="3"/>
  <c r="AK37" s="1"/>
  <c r="AL37" s="1"/>
  <c r="AZ37"/>
  <c r="AE37"/>
  <c r="BA37" s="1"/>
  <c r="AB34" i="2"/>
  <c r="AC34" s="1"/>
  <c r="AI34"/>
  <c r="AB35"/>
  <c r="AI35"/>
  <c r="AC35"/>
  <c r="BA36" i="5"/>
  <c r="AF38"/>
  <c r="BA38"/>
  <c r="AF44" i="2"/>
  <c r="H21" i="7" s="1"/>
  <c r="J21" s="1"/>
  <c r="AJ44" i="2"/>
  <c r="AK44" s="1"/>
  <c r="AL44" s="1"/>
  <c r="AZ44"/>
  <c r="AE44"/>
  <c r="BA44" s="1"/>
  <c r="AE39" i="5"/>
  <c r="AZ39"/>
  <c r="AJ39"/>
  <c r="AK39" s="1"/>
  <c r="AL39" s="1"/>
  <c r="AA44" i="4"/>
  <c r="K82" i="1"/>
  <c r="Z45" i="4" l="1"/>
  <c r="AA45" s="1"/>
  <c r="Q43" i="6"/>
  <c r="AF34" i="2"/>
  <c r="H11" i="7" s="1"/>
  <c r="J11" s="1"/>
  <c r="AJ34" i="2"/>
  <c r="AK34" s="1"/>
  <c r="AL34" s="1"/>
  <c r="AZ34"/>
  <c r="AE34"/>
  <c r="BA34" s="1"/>
  <c r="AE37" i="4"/>
  <c r="BA37" s="1"/>
  <c r="AF37"/>
  <c r="N14" i="7" s="1"/>
  <c r="P14" s="1"/>
  <c r="AJ37" i="4"/>
  <c r="AK37" s="1"/>
  <c r="AL37" s="1"/>
  <c r="AZ37"/>
  <c r="AE33"/>
  <c r="BA33" s="1"/>
  <c r="AF33"/>
  <c r="N10" i="7" s="1"/>
  <c r="P10" s="1"/>
  <c r="AJ33" i="4"/>
  <c r="AK33" s="1"/>
  <c r="AL33" s="1"/>
  <c r="AZ33"/>
  <c r="AE36"/>
  <c r="BA36" s="1"/>
  <c r="AF36"/>
  <c r="N13" i="7" s="1"/>
  <c r="P13" s="1"/>
  <c r="AJ36" i="4"/>
  <c r="AK36" s="1"/>
  <c r="AL36" s="1"/>
  <c r="AZ36"/>
  <c r="AE32"/>
  <c r="AF32"/>
  <c r="N9" i="7" s="1"/>
  <c r="P9" s="1"/>
  <c r="AJ32" i="4"/>
  <c r="AZ32"/>
  <c r="AI35"/>
  <c r="AB35"/>
  <c r="AC35" s="1"/>
  <c r="AB45" i="2"/>
  <c r="AC45" s="1"/>
  <c r="AI45"/>
  <c r="AB44" i="3"/>
  <c r="AC44" s="1"/>
  <c r="AI44"/>
  <c r="AI45" i="4"/>
  <c r="AB45"/>
  <c r="AC45" s="1"/>
  <c r="AF43" i="3"/>
  <c r="K20" i="7" s="1"/>
  <c r="M20" s="1"/>
  <c r="AJ43" i="3"/>
  <c r="AK43" s="1"/>
  <c r="AL43" s="1"/>
  <c r="AZ43"/>
  <c r="AE43"/>
  <c r="BA43" s="1"/>
  <c r="AF43" i="2"/>
  <c r="H20" i="7" s="1"/>
  <c r="J20" s="1"/>
  <c r="AJ43" i="2"/>
  <c r="AK43" s="1"/>
  <c r="AL43" s="1"/>
  <c r="AZ43"/>
  <c r="AE43"/>
  <c r="BA43" s="1"/>
  <c r="AF36"/>
  <c r="H13" i="7" s="1"/>
  <c r="J13" s="1"/>
  <c r="AJ36" i="2"/>
  <c r="AK36" s="1"/>
  <c r="AL36" s="1"/>
  <c r="AZ36"/>
  <c r="AE36"/>
  <c r="BA36" s="1"/>
  <c r="AF36" i="3"/>
  <c r="K13" i="7" s="1"/>
  <c r="M13" s="1"/>
  <c r="AJ36" i="3"/>
  <c r="AK36" s="1"/>
  <c r="AL36" s="1"/>
  <c r="AZ36"/>
  <c r="AE36"/>
  <c r="BA36" s="1"/>
  <c r="R43" i="6"/>
  <c r="Z43" s="1"/>
  <c r="AF34" i="3"/>
  <c r="K11" i="7" s="1"/>
  <c r="M11" s="1"/>
  <c r="AJ34" i="3"/>
  <c r="AK34" s="1"/>
  <c r="AL34" s="1"/>
  <c r="AZ34"/>
  <c r="AE34"/>
  <c r="BA34" s="1"/>
  <c r="AI42" i="4"/>
  <c r="AB42"/>
  <c r="AC42" s="1"/>
  <c r="AF39" i="5"/>
  <c r="BA39"/>
  <c r="AF35" i="2"/>
  <c r="H12" i="7" s="1"/>
  <c r="J12" s="1"/>
  <c r="AJ35" i="2"/>
  <c r="AK35" s="1"/>
  <c r="AL35" s="1"/>
  <c r="AZ35"/>
  <c r="AE35"/>
  <c r="BA35" s="1"/>
  <c r="U43" i="5"/>
  <c r="N43"/>
  <c r="J44"/>
  <c r="D45"/>
  <c r="J46" i="6"/>
  <c r="R42"/>
  <c r="AL36" i="5"/>
  <c r="AF41" i="6"/>
  <c r="BA41"/>
  <c r="P44"/>
  <c r="X44"/>
  <c r="O44"/>
  <c r="AI34" i="4"/>
  <c r="AB34"/>
  <c r="AC34" s="1"/>
  <c r="AF40" i="6"/>
  <c r="BA40"/>
  <c r="AE70"/>
  <c r="AF32" i="2"/>
  <c r="H9" i="7" s="1"/>
  <c r="J9" s="1"/>
  <c r="AJ32" i="2"/>
  <c r="AZ32"/>
  <c r="AE32"/>
  <c r="AF35" i="3"/>
  <c r="K12" i="7" s="1"/>
  <c r="M12" s="1"/>
  <c r="M25" s="1"/>
  <c r="AJ35" i="3"/>
  <c r="AK35" s="1"/>
  <c r="AL35" s="1"/>
  <c r="AZ35"/>
  <c r="AE35"/>
  <c r="BA35" s="1"/>
  <c r="AF33" i="2"/>
  <c r="H10" i="7" s="1"/>
  <c r="J10" s="1"/>
  <c r="AJ33" i="2"/>
  <c r="AK33" s="1"/>
  <c r="AL33" s="1"/>
  <c r="AZ33"/>
  <c r="AE33"/>
  <c r="BA33" s="1"/>
  <c r="Z46" i="4"/>
  <c r="AA46" s="1"/>
  <c r="R46" i="3"/>
  <c r="Z46" s="1"/>
  <c r="Z42" i="6"/>
  <c r="AI44" i="4"/>
  <c r="AB44"/>
  <c r="AC44" s="1"/>
  <c r="AF33" i="3"/>
  <c r="K10" i="7" s="1"/>
  <c r="M10" s="1"/>
  <c r="AJ33" i="3"/>
  <c r="AK33" s="1"/>
  <c r="AL33" s="1"/>
  <c r="AZ33"/>
  <c r="AE33"/>
  <c r="BA33" s="1"/>
  <c r="AF32"/>
  <c r="K9" i="7" s="1"/>
  <c r="M9" s="1"/>
  <c r="AJ32" i="3"/>
  <c r="AZ32"/>
  <c r="AE32"/>
  <c r="AF37" i="2"/>
  <c r="H14" i="7" s="1"/>
  <c r="J14" s="1"/>
  <c r="G14" s="1"/>
  <c r="E14" s="1"/>
  <c r="AJ37" i="2"/>
  <c r="AK37" s="1"/>
  <c r="AL37" s="1"/>
  <c r="AZ37"/>
  <c r="AE37"/>
  <c r="BA37" s="1"/>
  <c r="AJ40" i="5"/>
  <c r="AK40" s="1"/>
  <c r="AL40" s="1"/>
  <c r="AE40"/>
  <c r="AZ40"/>
  <c r="AF42" i="2"/>
  <c r="H19" i="7" s="1"/>
  <c r="J19" s="1"/>
  <c r="AJ42" i="2"/>
  <c r="AK42" s="1"/>
  <c r="AL42" s="1"/>
  <c r="AZ42"/>
  <c r="AE42"/>
  <c r="BA42" s="1"/>
  <c r="U45" i="6"/>
  <c r="N45"/>
  <c r="AB41" i="5"/>
  <c r="AI41"/>
  <c r="AC41"/>
  <c r="R45" i="3"/>
  <c r="Z45" s="1"/>
  <c r="AB42"/>
  <c r="AC42"/>
  <c r="AI42"/>
  <c r="AI43" i="4"/>
  <c r="AB43"/>
  <c r="AC43" s="1"/>
  <c r="P42" i="5"/>
  <c r="X42"/>
  <c r="O42"/>
  <c r="AB46" i="2"/>
  <c r="AC46" s="1"/>
  <c r="AI46"/>
  <c r="AK40" i="6"/>
  <c r="AI63" i="2"/>
  <c r="AA42" i="6" l="1"/>
  <c r="AE34" i="4"/>
  <c r="BA34" s="1"/>
  <c r="AF34"/>
  <c r="N11" i="7" s="1"/>
  <c r="P11" s="1"/>
  <c r="AJ34" i="4"/>
  <c r="AK34" s="1"/>
  <c r="AL34" s="1"/>
  <c r="AZ34"/>
  <c r="AE45"/>
  <c r="BA45" s="1"/>
  <c r="AF45"/>
  <c r="AJ45"/>
  <c r="AK45" s="1"/>
  <c r="AL45" s="1"/>
  <c r="AZ45"/>
  <c r="AE43"/>
  <c r="BA43" s="1"/>
  <c r="AF43"/>
  <c r="N20" i="7" s="1"/>
  <c r="P20" s="1"/>
  <c r="AJ43" i="4"/>
  <c r="AK43" s="1"/>
  <c r="AL43" s="1"/>
  <c r="AZ43"/>
  <c r="AE44"/>
  <c r="BA44" s="1"/>
  <c r="AF44"/>
  <c r="N21" i="7" s="1"/>
  <c r="P21" s="1"/>
  <c r="AJ44" i="4"/>
  <c r="AK44" s="1"/>
  <c r="AL44" s="1"/>
  <c r="AZ44"/>
  <c r="AB42" i="6"/>
  <c r="AC42" s="1"/>
  <c r="AI42"/>
  <c r="AE42" i="4"/>
  <c r="BA42" s="1"/>
  <c r="AF42"/>
  <c r="N19" i="7" s="1"/>
  <c r="P19" s="1"/>
  <c r="AJ42" i="4"/>
  <c r="AK42" s="1"/>
  <c r="AL42" s="1"/>
  <c r="AZ42"/>
  <c r="AF44" i="3"/>
  <c r="K21" i="7" s="1"/>
  <c r="M21" s="1"/>
  <c r="G21" s="1"/>
  <c r="E21" s="1"/>
  <c r="AJ44" i="3"/>
  <c r="AK44" s="1"/>
  <c r="AL44" s="1"/>
  <c r="AZ44"/>
  <c r="AE44"/>
  <c r="BA44" s="1"/>
  <c r="AE35" i="4"/>
  <c r="BA35" s="1"/>
  <c r="AF35"/>
  <c r="N12" i="7" s="1"/>
  <c r="P12" s="1"/>
  <c r="P25" s="1"/>
  <c r="AJ35" i="4"/>
  <c r="AK35" s="1"/>
  <c r="AL35" s="1"/>
  <c r="AZ35"/>
  <c r="AL40" i="6"/>
  <c r="AF46" i="2"/>
  <c r="H23" i="7" s="1"/>
  <c r="J23" s="1"/>
  <c r="AJ46" i="2"/>
  <c r="AK46" s="1"/>
  <c r="AL46" s="1"/>
  <c r="AZ46"/>
  <c r="AE46"/>
  <c r="BA46" s="1"/>
  <c r="AF42" i="3"/>
  <c r="K19" i="7" s="1"/>
  <c r="M19" s="1"/>
  <c r="AJ42" i="3"/>
  <c r="AK42" s="1"/>
  <c r="AL42" s="1"/>
  <c r="AZ42"/>
  <c r="AE42"/>
  <c r="BA42" s="1"/>
  <c r="AE41" i="5"/>
  <c r="AZ41"/>
  <c r="AJ41"/>
  <c r="AF40"/>
  <c r="BA40"/>
  <c r="AE70"/>
  <c r="BA32" i="3"/>
  <c r="AK32"/>
  <c r="AI46" i="4"/>
  <c r="AI63" s="1"/>
  <c r="AB46"/>
  <c r="AC46" s="1"/>
  <c r="BA32" i="2"/>
  <c r="AK32"/>
  <c r="N46" i="6"/>
  <c r="U46"/>
  <c r="N44" i="5"/>
  <c r="U44"/>
  <c r="G12" i="7"/>
  <c r="J25"/>
  <c r="AF45" i="2"/>
  <c r="H22" i="7" s="1"/>
  <c r="J22" s="1"/>
  <c r="AJ45" i="2"/>
  <c r="AK45" s="1"/>
  <c r="AL45" s="1"/>
  <c r="AZ45"/>
  <c r="AE45"/>
  <c r="BA45" s="1"/>
  <c r="AK32" i="4"/>
  <c r="BA32"/>
  <c r="G19" i="7"/>
  <c r="E19" s="1"/>
  <c r="AA46" i="3"/>
  <c r="AA43" i="6"/>
  <c r="G13" i="7"/>
  <c r="E13" s="1"/>
  <c r="G20"/>
  <c r="E20" s="1"/>
  <c r="G11"/>
  <c r="E11" s="1"/>
  <c r="O45" i="6"/>
  <c r="P45"/>
  <c r="X45"/>
  <c r="G9" i="7"/>
  <c r="J26"/>
  <c r="BA70" i="6"/>
  <c r="D46" i="5"/>
  <c r="J45"/>
  <c r="O43"/>
  <c r="P43"/>
  <c r="X43"/>
  <c r="Q42"/>
  <c r="AA45" i="3"/>
  <c r="G10" i="7"/>
  <c r="E10" s="1"/>
  <c r="Q44" i="6"/>
  <c r="Q43" i="5" l="1"/>
  <c r="R43"/>
  <c r="Z43" s="1"/>
  <c r="AA43" s="1"/>
  <c r="AE46" i="4"/>
  <c r="AF46"/>
  <c r="AJ46"/>
  <c r="AZ46"/>
  <c r="AF42" i="6"/>
  <c r="AJ42"/>
  <c r="AK42" s="1"/>
  <c r="AE42"/>
  <c r="AZ42"/>
  <c r="R44"/>
  <c r="AB45" i="3"/>
  <c r="AC45" s="1"/>
  <c r="AI45"/>
  <c r="E9" i="7"/>
  <c r="AB46" i="3"/>
  <c r="AC46"/>
  <c r="AI46"/>
  <c r="AL32" i="4"/>
  <c r="E12" i="7"/>
  <c r="G25"/>
  <c r="P44" i="5"/>
  <c r="X44"/>
  <c r="O44"/>
  <c r="P46" i="6"/>
  <c r="X46"/>
  <c r="O46"/>
  <c r="Q46" s="1"/>
  <c r="K60" i="1"/>
  <c r="AL32" i="2"/>
  <c r="AK63"/>
  <c r="BA70" i="5"/>
  <c r="K72" i="1"/>
  <c r="K64"/>
  <c r="K69"/>
  <c r="K71"/>
  <c r="Q45" i="6"/>
  <c r="R45" s="1"/>
  <c r="AE52" i="2"/>
  <c r="BA52" s="1"/>
  <c r="R42" i="5"/>
  <c r="U45"/>
  <c r="N45"/>
  <c r="J46"/>
  <c r="K73" i="1"/>
  <c r="K62"/>
  <c r="K70"/>
  <c r="AI43" i="6"/>
  <c r="AB43"/>
  <c r="AC43" s="1"/>
  <c r="K61" i="1"/>
  <c r="K63"/>
  <c r="AL32" i="3"/>
  <c r="AK41" i="5"/>
  <c r="AF41"/>
  <c r="BA41"/>
  <c r="K59" i="1"/>
  <c r="K74" s="1"/>
  <c r="Z45" i="6"/>
  <c r="J28" i="7"/>
  <c r="AJ63" i="2"/>
  <c r="AE70"/>
  <c r="Z42" i="5"/>
  <c r="Z44" i="6"/>
  <c r="K20" i="1"/>
  <c r="K13"/>
  <c r="K21"/>
  <c r="K14"/>
  <c r="K35"/>
  <c r="K23"/>
  <c r="K12"/>
  <c r="K10"/>
  <c r="K22"/>
  <c r="K19"/>
  <c r="K11"/>
  <c r="K9"/>
  <c r="K24" s="1"/>
  <c r="AA42" i="5" l="1"/>
  <c r="AI63" i="3"/>
  <c r="AA44" i="6"/>
  <c r="AB42" i="5"/>
  <c r="AC42" s="1"/>
  <c r="AI42"/>
  <c r="AB44" i="6"/>
  <c r="AC44" s="1"/>
  <c r="AI44"/>
  <c r="AE43"/>
  <c r="BA43" s="1"/>
  <c r="AZ43"/>
  <c r="AF43"/>
  <c r="AJ43"/>
  <c r="AK43" s="1"/>
  <c r="AL43" s="1"/>
  <c r="AF45" i="3"/>
  <c r="K22" i="7" s="1"/>
  <c r="M22" s="1"/>
  <c r="AJ45" i="3"/>
  <c r="AZ45"/>
  <c r="AE45"/>
  <c r="AI43" i="5"/>
  <c r="AB43"/>
  <c r="AC43" s="1"/>
  <c r="AF46" i="3"/>
  <c r="K23" i="7" s="1"/>
  <c r="M23" s="1"/>
  <c r="AJ46" i="3"/>
  <c r="AK46" s="1"/>
  <c r="AL46" s="1"/>
  <c r="AZ46"/>
  <c r="AE46"/>
  <c r="BA46" s="1"/>
  <c r="AL42" i="6"/>
  <c r="N22" i="7"/>
  <c r="P22" s="1"/>
  <c r="N23"/>
  <c r="P23" s="1"/>
  <c r="R46" i="6"/>
  <c r="Z46" s="1"/>
  <c r="BA70" i="2"/>
  <c r="AE91"/>
  <c r="AA70" s="1"/>
  <c r="AL41" i="5"/>
  <c r="N46"/>
  <c r="U46"/>
  <c r="O45"/>
  <c r="P45"/>
  <c r="X45"/>
  <c r="AL63" i="2"/>
  <c r="BA42" i="6"/>
  <c r="AK46" i="4"/>
  <c r="AJ63"/>
  <c r="BA46"/>
  <c r="AE52"/>
  <c r="BA52" s="1"/>
  <c r="AE70"/>
  <c r="AE66" i="2"/>
  <c r="BA66" s="1"/>
  <c r="Q44" i="5"/>
  <c r="AA45" i="6"/>
  <c r="K46" i="1"/>
  <c r="K36"/>
  <c r="K48"/>
  <c r="K45"/>
  <c r="K44"/>
  <c r="K37"/>
  <c r="K39"/>
  <c r="K38"/>
  <c r="K34"/>
  <c r="K47"/>
  <c r="Q45" i="5" l="1"/>
  <c r="P26" i="7"/>
  <c r="P28" s="1"/>
  <c r="AA46" i="6"/>
  <c r="R45" i="5"/>
  <c r="Z45" s="1"/>
  <c r="AB46" i="6"/>
  <c r="AI46"/>
  <c r="AF44"/>
  <c r="AJ44"/>
  <c r="AK44" s="1"/>
  <c r="AL44" s="1"/>
  <c r="AE44"/>
  <c r="AZ44"/>
  <c r="AF42" i="5"/>
  <c r="AJ42"/>
  <c r="AE42"/>
  <c r="AZ42"/>
  <c r="AE43"/>
  <c r="BA43" s="1"/>
  <c r="AZ43"/>
  <c r="AF43"/>
  <c r="AJ43"/>
  <c r="AK43" s="1"/>
  <c r="AL43" s="1"/>
  <c r="AI45" i="6"/>
  <c r="AB45"/>
  <c r="AC45" s="1"/>
  <c r="R44" i="5"/>
  <c r="BA70" i="4"/>
  <c r="AE91"/>
  <c r="M26" i="7"/>
  <c r="M28" s="1"/>
  <c r="G22"/>
  <c r="AE66" i="4"/>
  <c r="BA66" s="1"/>
  <c r="AL46"/>
  <c r="AK63"/>
  <c r="AL63" s="1"/>
  <c r="P46" i="5"/>
  <c r="X46"/>
  <c r="O46"/>
  <c r="BA91" i="2"/>
  <c r="AC73"/>
  <c r="AZ73" s="1"/>
  <c r="AA73"/>
  <c r="AA71"/>
  <c r="AC71"/>
  <c r="AZ71" s="1"/>
  <c r="BA45" i="3"/>
  <c r="AE52"/>
  <c r="BA52" s="1"/>
  <c r="AE70"/>
  <c r="AK45"/>
  <c r="AJ63"/>
  <c r="G23" i="7"/>
  <c r="E23" s="1"/>
  <c r="Z44" i="5"/>
  <c r="K49" i="1"/>
  <c r="K84" s="1"/>
  <c r="AC46" i="6" l="1"/>
  <c r="AA44" i="5"/>
  <c r="AB44" s="1"/>
  <c r="AC44" s="1"/>
  <c r="AE45" i="6"/>
  <c r="BA45" s="1"/>
  <c r="AZ45"/>
  <c r="AF45"/>
  <c r="AJ45"/>
  <c r="AK45" s="1"/>
  <c r="AL45" s="1"/>
  <c r="AL45" i="3"/>
  <c r="AK63"/>
  <c r="BA42" i="5"/>
  <c r="BA44" i="6"/>
  <c r="AE69"/>
  <c r="AF46"/>
  <c r="AJ46"/>
  <c r="AE46"/>
  <c r="AZ46"/>
  <c r="AE66" i="3"/>
  <c r="BA66" s="1"/>
  <c r="Q46" i="5"/>
  <c r="AA45"/>
  <c r="AE91" i="3"/>
  <c r="AA70" s="1"/>
  <c r="BA70"/>
  <c r="E22" i="7"/>
  <c r="G26"/>
  <c r="G28" s="1"/>
  <c r="BA91" i="4"/>
  <c r="AC73"/>
  <c r="AZ73" s="1"/>
  <c r="AA73"/>
  <c r="AC71"/>
  <c r="AZ71" s="1"/>
  <c r="AA71"/>
  <c r="AK42" i="5"/>
  <c r="AA70" i="4"/>
  <c r="AI62" i="6"/>
  <c r="E31" i="7" l="1"/>
  <c r="G31" s="1"/>
  <c r="AI44" i="5"/>
  <c r="AF44"/>
  <c r="AJ44"/>
  <c r="AK44" s="1"/>
  <c r="AL44" s="1"/>
  <c r="AE44"/>
  <c r="AZ44"/>
  <c r="AL42"/>
  <c r="D38" i="7"/>
  <c r="BA46" i="6"/>
  <c r="AE52"/>
  <c r="BA91" i="3"/>
  <c r="AC73"/>
  <c r="AZ73" s="1"/>
  <c r="AA73"/>
  <c r="AA71"/>
  <c r="AC71"/>
  <c r="AZ71" s="1"/>
  <c r="AI45" i="5"/>
  <c r="AB45"/>
  <c r="AC45" s="1"/>
  <c r="R46"/>
  <c r="Z46" s="1"/>
  <c r="AK46" i="6"/>
  <c r="AJ62"/>
  <c r="BA69"/>
  <c r="AE90"/>
  <c r="AL63" i="3"/>
  <c r="C55" i="7"/>
  <c r="AA46" i="5" l="1"/>
  <c r="AE45"/>
  <c r="BA45" s="1"/>
  <c r="AZ45"/>
  <c r="AF45"/>
  <c r="AJ45"/>
  <c r="AK45" s="1"/>
  <c r="AL45" s="1"/>
  <c r="AB46"/>
  <c r="AC46" s="1"/>
  <c r="AI46"/>
  <c r="AI62" s="1"/>
  <c r="BA90" i="6"/>
  <c r="AC70"/>
  <c r="AZ70" s="1"/>
  <c r="AA70"/>
  <c r="AL46"/>
  <c r="AK62"/>
  <c r="AL62" s="1"/>
  <c r="D42" i="7"/>
  <c r="D43" s="1"/>
  <c r="D45"/>
  <c r="D48" s="1"/>
  <c r="D49" s="1"/>
  <c r="BA44" i="5"/>
  <c r="AA69" i="6"/>
  <c r="BA52"/>
  <c r="AE65"/>
  <c r="BA65" s="1"/>
  <c r="AF46" i="5" l="1"/>
  <c r="E33" i="7" s="1"/>
  <c r="G33" s="1"/>
  <c r="AJ46" i="5"/>
  <c r="AE46"/>
  <c r="AZ46"/>
  <c r="BA46" l="1"/>
  <c r="AE52"/>
  <c r="AE69"/>
  <c r="J31" i="7"/>
  <c r="G38"/>
  <c r="AK46" i="5"/>
  <c r="AJ62"/>
  <c r="G42" i="7" l="1"/>
  <c r="G43" s="1"/>
  <c r="G45"/>
  <c r="G48" s="1"/>
  <c r="G49" s="1"/>
  <c r="BA69" i="5"/>
  <c r="AE90"/>
  <c r="AL46"/>
  <c r="AK62"/>
  <c r="AL62" s="1"/>
  <c r="BA52"/>
  <c r="AE65"/>
  <c r="BA65" s="1"/>
  <c r="BA90" l="1"/>
  <c r="AC70"/>
  <c r="AZ70" s="1"/>
  <c r="AA70"/>
  <c r="AA69"/>
</calcChain>
</file>

<file path=xl/sharedStrings.xml><?xml version="1.0" encoding="utf-8"?>
<sst xmlns="http://schemas.openxmlformats.org/spreadsheetml/2006/main" count="1300" uniqueCount="270">
  <si>
    <t>through:</t>
  </si>
  <si>
    <t>Duration:</t>
  </si>
  <si>
    <t>PLACE OF PERFORMANCE:</t>
  </si>
  <si>
    <t>LOT:</t>
  </si>
  <si>
    <t>from :</t>
  </si>
  <si>
    <t>CLIN</t>
  </si>
  <si>
    <t>Currency</t>
  </si>
  <si>
    <t>Total</t>
  </si>
  <si>
    <t>DESCRIPTION</t>
  </si>
  <si>
    <t xml:space="preserve">CIS consultants to work at the ISAF HQ Joint CIS Control Centre (JCCC). </t>
  </si>
  <si>
    <t>Total : 15 consultants</t>
  </si>
  <si>
    <t>I -1</t>
  </si>
  <si>
    <t>I -1-1</t>
  </si>
  <si>
    <t>I -1-2</t>
  </si>
  <si>
    <t>I -1-3</t>
  </si>
  <si>
    <t>I -1-4</t>
  </si>
  <si>
    <t>I -1-5</t>
  </si>
  <si>
    <t>I -1-6</t>
  </si>
  <si>
    <t>I -1-7</t>
  </si>
  <si>
    <t>I -1-8</t>
  </si>
  <si>
    <t>I -1-9</t>
  </si>
  <si>
    <t>I</t>
  </si>
  <si>
    <t>PERIOD 1</t>
  </si>
  <si>
    <t>PERIOD 2</t>
  </si>
  <si>
    <t>PERIOD 3</t>
  </si>
  <si>
    <t>I -2</t>
  </si>
  <si>
    <t>I -2-1</t>
  </si>
  <si>
    <t>I -2-2</t>
  </si>
  <si>
    <t>I -2-3</t>
  </si>
  <si>
    <t>I -2-4</t>
  </si>
  <si>
    <t>I -2-5</t>
  </si>
  <si>
    <t>I -2-6</t>
  </si>
  <si>
    <t>I -2-7</t>
  </si>
  <si>
    <t>I -2-8</t>
  </si>
  <si>
    <t>I -2-9</t>
  </si>
  <si>
    <t>I -3</t>
  </si>
  <si>
    <t>I -3-1</t>
  </si>
  <si>
    <t>I -3-2</t>
  </si>
  <si>
    <t>I -3-3</t>
  </si>
  <si>
    <t>I -3-4</t>
  </si>
  <si>
    <t>I -3-5</t>
  </si>
  <si>
    <t>I -3-6</t>
  </si>
  <si>
    <t>I -3-7</t>
  </si>
  <si>
    <t>I -3-8</t>
  </si>
  <si>
    <t>I -3-9</t>
  </si>
  <si>
    <t>except for:</t>
  </si>
  <si>
    <t>- IN / OUT Processing : at NCSA HQ B7010 MONS</t>
  </si>
  <si>
    <t xml:space="preserve">- PRE-DEPLOYMENT TRAINING: at a NATO static HQ or another location (outside of the Theatre) </t>
  </si>
  <si>
    <t>GENERAL</t>
  </si>
  <si>
    <t>I -4</t>
  </si>
  <si>
    <t>I -5</t>
  </si>
  <si>
    <t>IN- and / or OUT PROCESSING and PRE-DEPLOYMENT TRAINING</t>
  </si>
  <si>
    <t>IN- and / or OUT PROCESSING (15 CONSULTANTS - MAXIMUM 6 DAYS at 8 hours per day) at NCSA HQ SHAPE B-7010 Belgium</t>
  </si>
  <si>
    <t xml:space="preserve">PRE-DEPLOYMENT Training (15 CONSULTANTS - MAXIMUM 2 weeks duration) at a NATO static HQ or another location (outside of the Theatre) </t>
  </si>
  <si>
    <t>GRAND TOTAL 15 CONSULTANTS</t>
  </si>
  <si>
    <t>I-6</t>
  </si>
  <si>
    <t>Unit price</t>
  </si>
  <si>
    <t>Quantity</t>
  </si>
  <si>
    <t>OPTION (NOT TO BE INCLUDED IN THE GRAND TOTAL ABOVE) :</t>
  </si>
  <si>
    <t>(290 wordays per 12 months)</t>
  </si>
  <si>
    <t>Daily rate</t>
  </si>
  <si>
    <t>Estimated Quantity of Days</t>
  </si>
  <si>
    <t>LAN/WAN Engineer</t>
  </si>
  <si>
    <t>Functional Services Administrator</t>
  </si>
  <si>
    <t xml:space="preserve">Service Desk
</t>
  </si>
  <si>
    <t>Service Desk</t>
  </si>
  <si>
    <t>CIS Training Supervisor</t>
  </si>
  <si>
    <t>I -1-10</t>
  </si>
  <si>
    <t>I -1-11</t>
  </si>
  <si>
    <t>I -1-12</t>
  </si>
  <si>
    <t>I -1-13</t>
  </si>
  <si>
    <t>I -1-14</t>
  </si>
  <si>
    <t>I -1-15</t>
  </si>
  <si>
    <t xml:space="preserve">CIS Trainer </t>
  </si>
  <si>
    <t>Radio Technician</t>
  </si>
  <si>
    <t>Network Administrator</t>
  </si>
  <si>
    <t>System Administrator</t>
  </si>
  <si>
    <t>Configuration Manager</t>
  </si>
  <si>
    <t>Hardware Technician</t>
  </si>
  <si>
    <t>Repair/Exchange Specialist</t>
  </si>
  <si>
    <t>I -2-10</t>
  </si>
  <si>
    <t>I -2-11</t>
  </si>
  <si>
    <t>I -2-12</t>
  </si>
  <si>
    <t>I -2-13</t>
  </si>
  <si>
    <t>I -2-14</t>
  </si>
  <si>
    <t>I -2-15</t>
  </si>
  <si>
    <t>I -3-10</t>
  </si>
  <si>
    <t>I -3-11</t>
  </si>
  <si>
    <t>I -3-12</t>
  </si>
  <si>
    <t>I -3-13</t>
  </si>
  <si>
    <t>I -3-14</t>
  </si>
  <si>
    <t>I -3-15</t>
  </si>
  <si>
    <t xml:space="preserve">ISAF </t>
  </si>
  <si>
    <t>workdays</t>
  </si>
  <si>
    <t xml:space="preserve">workdays </t>
  </si>
  <si>
    <t>ONE SET of Protective gear (e.g. flak jackets and helmets) IAW NATO standards: 
- Civilian Body Armor NIJ IIIA, Dark Blue
- Civilian Helmet is V50 Ballistic Standard at 650 m/s</t>
  </si>
  <si>
    <t>Dollars</t>
  </si>
  <si>
    <t>Total:</t>
  </si>
  <si>
    <t>N/A</t>
  </si>
  <si>
    <t>ManTech</t>
  </si>
  <si>
    <t>Amount</t>
  </si>
  <si>
    <t>Hours</t>
  </si>
  <si>
    <t>Sub $ %</t>
  </si>
  <si>
    <t>Sub Hr %</t>
  </si>
  <si>
    <t>Total $ %</t>
  </si>
  <si>
    <t>Total Hrs. %</t>
  </si>
  <si>
    <t>Company</t>
  </si>
  <si>
    <t>Grand Total:</t>
  </si>
  <si>
    <t>Materials/ODCs Total:</t>
  </si>
  <si>
    <t>Subtotal</t>
  </si>
  <si>
    <t>ODCs</t>
  </si>
  <si>
    <t>Shipping</t>
  </si>
  <si>
    <t>Delta Force Helmet Level lllA</t>
  </si>
  <si>
    <t>Concealable Vest Level lllA Color Navy Blue</t>
  </si>
  <si>
    <t>Tactical Vest Level lllA with 10” X 12” F&amp;B</t>
  </si>
  <si>
    <t>OPTION PROTECTIVE GEAR</t>
  </si>
  <si>
    <t>Materials / Other Direct Costs</t>
  </si>
  <si>
    <t>Conversion Rate</t>
  </si>
  <si>
    <t>Labor Total:</t>
  </si>
  <si>
    <t>Govt_Sub</t>
  </si>
  <si>
    <t>Govt</t>
  </si>
  <si>
    <t>Potential Total Travel</t>
  </si>
  <si>
    <t>Profit</t>
  </si>
  <si>
    <t>Total Price</t>
  </si>
  <si>
    <t>Total Cost</t>
  </si>
  <si>
    <t>Labor</t>
  </si>
  <si>
    <t>Daily Rate</t>
  </si>
  <si>
    <t>Hours/Qty</t>
  </si>
  <si>
    <t>Hourly Rate</t>
  </si>
  <si>
    <t>Esc. Rate</t>
  </si>
  <si>
    <t>Base Rate</t>
  </si>
  <si>
    <t>HIDE</t>
  </si>
  <si>
    <t>Name/Code</t>
  </si>
  <si>
    <t>Labor Category</t>
  </si>
  <si>
    <t>FILTER (TOTALS)</t>
  </si>
  <si>
    <t>FILTER (RATES)</t>
  </si>
  <si>
    <t>G</t>
  </si>
  <si>
    <t>F</t>
  </si>
  <si>
    <t>E</t>
  </si>
  <si>
    <t>D</t>
  </si>
  <si>
    <t>C</t>
  </si>
  <si>
    <t>B</t>
  </si>
  <si>
    <t>A</t>
  </si>
  <si>
    <t>(B+C+D+E)</t>
  </si>
  <si>
    <t>Hours per day</t>
  </si>
  <si>
    <t>Materials</t>
  </si>
  <si>
    <t>Contr_Sub</t>
  </si>
  <si>
    <t>Govt WD - OT</t>
  </si>
  <si>
    <t>Contr WD - OT</t>
  </si>
  <si>
    <t>Govt - OT</t>
  </si>
  <si>
    <t>Contr - OT</t>
  </si>
  <si>
    <t>Govt - IWA2</t>
  </si>
  <si>
    <t>Contr - IWA2</t>
  </si>
  <si>
    <t>Govt - IWA</t>
  </si>
  <si>
    <t>Contr - IWA</t>
  </si>
  <si>
    <t>Govt WD</t>
  </si>
  <si>
    <t>Contr WD</t>
  </si>
  <si>
    <t>Contr</t>
  </si>
  <si>
    <t>Annual Esc. / Fee</t>
  </si>
  <si>
    <t>Profit / Fee</t>
  </si>
  <si>
    <t>Cost</t>
  </si>
  <si>
    <t>G&amp;A</t>
  </si>
  <si>
    <t>Travel</t>
  </si>
  <si>
    <t>DBA Ins.</t>
  </si>
  <si>
    <t>War Risk Ins.</t>
  </si>
  <si>
    <t>Comp. Bonus</t>
  </si>
  <si>
    <t>Finders Fee</t>
  </si>
  <si>
    <t>PMO Cost</t>
  </si>
  <si>
    <t>Project Controller Cost</t>
  </si>
  <si>
    <t>Overhead</t>
  </si>
  <si>
    <t>PRB</t>
  </si>
  <si>
    <t>Harship</t>
  </si>
  <si>
    <t>Hazard</t>
  </si>
  <si>
    <t>Esc. Factor</t>
  </si>
  <si>
    <t>Esc. or Sub Fee</t>
  </si>
  <si>
    <t>Burden Code</t>
  </si>
  <si>
    <t>Site</t>
  </si>
  <si>
    <t>Cost Ctr</t>
  </si>
  <si>
    <t>End</t>
  </si>
  <si>
    <t>Start</t>
  </si>
  <si>
    <t>Fully Burdened Rate Detail</t>
  </si>
  <si>
    <t>Report:</t>
  </si>
  <si>
    <t>Offeror:</t>
  </si>
  <si>
    <t>Title:</t>
  </si>
  <si>
    <t>PL:</t>
  </si>
  <si>
    <t>RFP:</t>
  </si>
  <si>
    <t>Hourly Rate/Daily Rate</t>
  </si>
  <si>
    <t>Per Diem</t>
  </si>
  <si>
    <t>8) Subcontractor daily rate is inclusive of their travel in and out of Belgium</t>
  </si>
  <si>
    <t>7) ManTech will pay for ManTech employee travel in and out of Belgium processing center and NATO will be responsible for all travel cost beyond Belgium, to include training accomodations and meals</t>
  </si>
  <si>
    <t>6) ManTech will supply all NATO required body armor (provided as optional pricing)</t>
  </si>
  <si>
    <t>5) Staffing finders fee cost accounted for in Overhead indirect rates</t>
  </si>
  <si>
    <t>4) All NATO payments will be received in US Dollars and all labor and ODCs will be paid in US Dollars</t>
  </si>
  <si>
    <t>3) War Risk Insurance and DBA Insurance has been applied to all ManTech labor</t>
  </si>
  <si>
    <t>2) $5,000 annual completion bonus applied to all ManTech labor</t>
  </si>
  <si>
    <t>1) 35% hardship and 35% hazard pay applied to all ManTech labor</t>
  </si>
  <si>
    <t>ManTech labor includes:</t>
  </si>
  <si>
    <t>Assumptions:</t>
  </si>
  <si>
    <t>3) Daily rates for processing and pre-deployment training remain valid for the length of the contract and have to remain valid for any TBD location</t>
  </si>
  <si>
    <t>Effective Profit %</t>
  </si>
  <si>
    <t>2) The bidding currency is optional and ManTech will be bidding in US Dollars and paying all consultants in US Dollars</t>
  </si>
  <si>
    <t>Profit on ODCs</t>
  </si>
  <si>
    <t>Profit on Sub Labor</t>
  </si>
  <si>
    <t>1) NATO has indicated that there is a guaranteed minimum 50% of the proposed Year 1 level of effort and the potential for a maximum of 200% of the Year 1 level of effort.</t>
  </si>
  <si>
    <t>Profit on Mantech Labor</t>
  </si>
  <si>
    <t>Pricing Notes:</t>
  </si>
  <si>
    <t>Profit/Fee</t>
  </si>
  <si>
    <t>Delta %</t>
  </si>
  <si>
    <t>Delta</t>
  </si>
  <si>
    <t>Estimated Price to Win</t>
  </si>
  <si>
    <t>Current Proposal (including processing and deployment training)</t>
  </si>
  <si>
    <t>Days</t>
  </si>
  <si>
    <t>Avg. Rate</t>
  </si>
  <si>
    <t>Estimated Contract Ceiling</t>
  </si>
  <si>
    <t>One Set Protective Gear (Optional)</t>
  </si>
  <si>
    <t>Unit Price</t>
  </si>
  <si>
    <t>PRE-DEPLOYMENT TRAINING (15 CONSULTANTS 0 MAXIMUM 2 WEEKS AT A NATO STATIC HQ OR ANOTHER LOCATION (OUTSIDE OF THE THEATRE)</t>
  </si>
  <si>
    <t>IN AND /OR OUT PROCESSING (15 CONSULTANTS - MAXIMUM 6 DAYS AT 8 HOURS PER DAY_ AT NCSA HW SHAPE B-7010 BELGIUM)</t>
  </si>
  <si>
    <t>Total Firm Fixed Price Base Contract</t>
  </si>
  <si>
    <t>Subtotal ManTech Labor (Dollars)</t>
  </si>
  <si>
    <t>Subtotal Subcontractor Labor (Dollars)</t>
  </si>
  <si>
    <t>Avg. Daily Rate</t>
  </si>
  <si>
    <t>Year 3</t>
  </si>
  <si>
    <t>Year 2</t>
  </si>
  <si>
    <t>Year 1</t>
  </si>
  <si>
    <t>Pricing Summary</t>
  </si>
  <si>
    <t>P-12246</t>
  </si>
  <si>
    <t>ManTech Telecommunications and Information Systems Corporation</t>
  </si>
  <si>
    <t>CIS Consultant Services</t>
  </si>
  <si>
    <t>NCSA HQ 7010</t>
  </si>
  <si>
    <t xml:space="preserve">LAN/Wan Engineer </t>
  </si>
  <si>
    <t>Total Compensation</t>
  </si>
  <si>
    <t>Annual Comp. Bonus</t>
  </si>
  <si>
    <t>Hardship</t>
  </si>
  <si>
    <t>Total Hours</t>
  </si>
  <si>
    <t>Salary Base Pay</t>
  </si>
  <si>
    <t>Premium Based Pay</t>
  </si>
  <si>
    <t>Compensation Summary</t>
  </si>
  <si>
    <t>P-12346</t>
  </si>
  <si>
    <t>JALLC</t>
  </si>
  <si>
    <t>ACT-JALLC-09-10</t>
  </si>
  <si>
    <t>Segovia, Inc.</t>
  </si>
  <si>
    <t>Briggs and Sons</t>
  </si>
  <si>
    <t>Yvan</t>
  </si>
  <si>
    <t>Sub 4</t>
  </si>
  <si>
    <t>Sub 5</t>
  </si>
  <si>
    <t>Sub 6</t>
  </si>
  <si>
    <t>Sub 7</t>
  </si>
  <si>
    <t>Sub 8</t>
  </si>
  <si>
    <t>Sub 9</t>
  </si>
  <si>
    <t>Sub 10</t>
  </si>
  <si>
    <t>Sub 11</t>
  </si>
  <si>
    <t>Sub 12</t>
  </si>
  <si>
    <t>Sub 13</t>
  </si>
  <si>
    <t>Sub 14</t>
  </si>
  <si>
    <t>Sub 15</t>
  </si>
  <si>
    <t>Sub 16</t>
  </si>
  <si>
    <t>Sub 17</t>
  </si>
  <si>
    <t>Sub 18</t>
  </si>
  <si>
    <t>Sub 19</t>
  </si>
  <si>
    <t>Sub 20</t>
  </si>
  <si>
    <t>Contr/Govt</t>
  </si>
  <si>
    <t>IS</t>
  </si>
  <si>
    <t>ESD</t>
  </si>
  <si>
    <t>Base Year</t>
  </si>
  <si>
    <t>Martin,Lindy E</t>
  </si>
  <si>
    <t>CIS Trainer</t>
  </si>
  <si>
    <t>Option Year 1</t>
  </si>
  <si>
    <t>Option Year 2</t>
  </si>
  <si>
    <t>Training and Processing</t>
  </si>
</sst>
</file>

<file path=xl/styles.xml><?xml version="1.0" encoding="utf-8"?>
<styleSheet xmlns="http://schemas.openxmlformats.org/spreadsheetml/2006/main">
  <numFmts count="12">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409]d/mmm/yy;@"/>
    <numFmt numFmtId="165" formatCode="_(* #,##0_);_(* \(#,##0\);_(* &quot;-&quot;??_);_(@_)"/>
    <numFmt numFmtId="166" formatCode="_(&quot;$&quot;* #,##0_);_(&quot;$&quot;* \(#,##0\);_(&quot;$&quot;* &quot;-&quot;??_);_(@_)"/>
    <numFmt numFmtId="167" formatCode="_(&quot;$&quot;* #,##0.00_);_(&quot;$&quot;* \(#,##0.00\);_(&quot;$&quot;* &quot;-&quot;_);_(@_)"/>
    <numFmt numFmtId="168" formatCode="_(* #,##0.00000_);_(* \(#,##0.00000\);_(* &quot;-&quot;??_);_(@_)"/>
    <numFmt numFmtId="169" formatCode="0.0%"/>
    <numFmt numFmtId="170" formatCode="_([$€-2]* #,##0.00_);_([$€-2]* \(#,##0.00\);_([$€-2]* &quot;-&quot;??_)"/>
    <numFmt numFmtId="171" formatCode="_([$€-2]\ * #,##0.00_);_([$€-2]\ * \(#,##0.00\);_([$€-2]\ * &quot;-&quot;??_);_(@_)"/>
  </numFmts>
  <fonts count="26">
    <font>
      <sz val="11"/>
      <color theme="1"/>
      <name val="Calibri"/>
      <family val="2"/>
      <scheme val="minor"/>
    </font>
    <font>
      <sz val="11"/>
      <color theme="1"/>
      <name val="Calibri"/>
      <family val="2"/>
      <scheme val="minor"/>
    </font>
    <font>
      <b/>
      <sz val="13"/>
      <color theme="3"/>
      <name val="Calibri"/>
      <family val="2"/>
      <scheme val="minor"/>
    </font>
    <font>
      <b/>
      <sz val="11"/>
      <color theme="1"/>
      <name val="Calibri"/>
      <family val="2"/>
      <scheme val="minor"/>
    </font>
    <font>
      <sz val="8"/>
      <color theme="1"/>
      <name val="Arial"/>
      <family val="2"/>
    </font>
    <font>
      <sz val="10"/>
      <color theme="1"/>
      <name val="Arial"/>
      <family val="2"/>
    </font>
    <font>
      <b/>
      <sz val="12"/>
      <color theme="1"/>
      <name val="Arial"/>
      <family val="2"/>
    </font>
    <font>
      <b/>
      <sz val="10"/>
      <color theme="1"/>
      <name val="Arial"/>
      <family val="2"/>
    </font>
    <font>
      <b/>
      <sz val="14"/>
      <color theme="1"/>
      <name val="Calibri"/>
      <family val="2"/>
      <scheme val="minor"/>
    </font>
    <font>
      <sz val="12"/>
      <color theme="1"/>
      <name val="Arial"/>
      <family val="2"/>
    </font>
    <font>
      <sz val="10"/>
      <name val="Arial"/>
      <family val="2"/>
    </font>
    <font>
      <u/>
      <sz val="10"/>
      <name val="Arial"/>
      <family val="2"/>
    </font>
    <font>
      <b/>
      <sz val="10"/>
      <name val="Arial"/>
      <family val="2"/>
    </font>
    <font>
      <b/>
      <sz val="10"/>
      <color indexed="9"/>
      <name val="Arial"/>
      <family val="2"/>
    </font>
    <font>
      <b/>
      <u/>
      <sz val="10"/>
      <color indexed="9"/>
      <name val="Arial"/>
      <family val="2"/>
    </font>
    <font>
      <b/>
      <sz val="12"/>
      <color indexed="9"/>
      <name val="Arial"/>
      <family val="2"/>
    </font>
    <font>
      <sz val="9.5"/>
      <color rgb="FF666666"/>
      <name val="Arial"/>
      <family val="2"/>
    </font>
    <font>
      <sz val="10"/>
      <color indexed="22"/>
      <name val="Arial"/>
      <family val="2"/>
    </font>
    <font>
      <sz val="8"/>
      <name val="Arial"/>
      <family val="2"/>
    </font>
    <font>
      <sz val="10"/>
      <color theme="0"/>
      <name val="Arial"/>
      <family val="2"/>
    </font>
    <font>
      <u/>
      <sz val="10"/>
      <color theme="0"/>
      <name val="Arial"/>
      <family val="2"/>
    </font>
    <font>
      <sz val="10"/>
      <color indexed="9"/>
      <name val="Arial"/>
      <family val="2"/>
    </font>
    <font>
      <b/>
      <sz val="14"/>
      <color indexed="81"/>
      <name val="Tahoma"/>
      <family val="2"/>
    </font>
    <font>
      <sz val="8"/>
      <color indexed="81"/>
      <name val="Tahoma"/>
      <family val="2"/>
    </font>
    <font>
      <sz val="10"/>
      <name val="MS Sans Serif"/>
      <family val="2"/>
    </font>
    <font>
      <b/>
      <sz val="10"/>
      <name val="MS Sans Serif"/>
      <family val="2"/>
    </font>
  </fonts>
  <fills count="9">
    <fill>
      <patternFill patternType="none"/>
    </fill>
    <fill>
      <patternFill patternType="gray125"/>
    </fill>
    <fill>
      <patternFill patternType="solid">
        <fgColor indexed="42"/>
        <bgColor indexed="64"/>
      </patternFill>
    </fill>
    <fill>
      <patternFill patternType="solid">
        <fgColor rgb="FFFFFF00"/>
        <bgColor indexed="64"/>
      </patternFill>
    </fill>
    <fill>
      <patternFill patternType="solid">
        <fgColor indexed="12"/>
        <bgColor indexed="64"/>
      </patternFill>
    </fill>
    <fill>
      <patternFill patternType="solid">
        <fgColor rgb="FFCCFFCC"/>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s>
  <borders count="75">
    <border>
      <left/>
      <right/>
      <top/>
      <bottom/>
      <diagonal/>
    </border>
    <border>
      <left/>
      <right/>
      <top/>
      <bottom style="thick">
        <color theme="4" tint="0.4999847407452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bottom/>
      <diagonal/>
    </border>
    <border>
      <left style="thin">
        <color indexed="64"/>
      </left>
      <right/>
      <top/>
      <bottom/>
      <diagonal/>
    </border>
    <border>
      <left/>
      <right style="medium">
        <color indexed="64"/>
      </right>
      <top/>
      <bottom style="medium">
        <color indexed="64"/>
      </bottom>
      <diagonal/>
    </border>
    <border>
      <left/>
      <right/>
      <top style="thin">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bottom/>
      <diagonal/>
    </border>
    <border>
      <left style="medium">
        <color indexed="64"/>
      </left>
      <right/>
      <top/>
      <bottom/>
      <diagonal/>
    </border>
    <border>
      <left/>
      <right style="medium">
        <color indexed="64"/>
      </right>
      <top/>
      <bottom style="thin">
        <color indexed="64"/>
      </bottom>
      <diagonal/>
    </border>
    <border>
      <left style="medium">
        <color indexed="64"/>
      </left>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s>
  <cellStyleXfs count="16">
    <xf numFmtId="164" fontId="0" fillId="0" borderId="0"/>
    <xf numFmtId="43" fontId="1" fillId="0" borderId="0" applyFont="0" applyFill="0" applyBorder="0" applyAlignment="0" applyProtection="0"/>
    <xf numFmtId="164" fontId="2" fillId="0" borderId="1" applyNumberFormat="0" applyFill="0" applyAlignment="0" applyProtection="0"/>
    <xf numFmtId="44" fontId="1" fillId="0" borderId="0" applyFont="0" applyFill="0" applyBorder="0" applyAlignment="0" applyProtection="0"/>
    <xf numFmtId="0" fontId="10" fillId="0" borderId="0"/>
    <xf numFmtId="9" fontId="10" fillId="0" borderId="0" applyFont="0" applyFill="0" applyBorder="0" applyAlignment="0" applyProtection="0"/>
    <xf numFmtId="44" fontId="10" fillId="0" borderId="0" applyFont="0" applyFill="0" applyBorder="0" applyAlignment="0" applyProtection="0"/>
    <xf numFmtId="43" fontId="10" fillId="0" borderId="0" applyFont="0" applyFill="0" applyBorder="0" applyAlignment="0" applyProtection="0"/>
    <xf numFmtId="44" fontId="10" fillId="0" borderId="0" applyFont="0" applyFill="0" applyBorder="0" applyAlignment="0" applyProtection="0"/>
    <xf numFmtId="170" fontId="10" fillId="0" borderId="0" applyFont="0" applyFill="0" applyBorder="0" applyAlignment="0" applyProtection="0"/>
    <xf numFmtId="0" fontId="10" fillId="0" borderId="0"/>
    <xf numFmtId="9" fontId="10" fillId="0" borderId="0" applyFont="0" applyFill="0" applyBorder="0" applyAlignment="0" applyProtection="0"/>
    <xf numFmtId="0" fontId="24" fillId="0" borderId="0" applyNumberFormat="0" applyFont="0" applyFill="0" applyBorder="0" applyAlignment="0" applyProtection="0">
      <alignment horizontal="left"/>
    </xf>
    <xf numFmtId="15" fontId="24" fillId="0" borderId="0" applyFont="0" applyFill="0" applyBorder="0" applyAlignment="0" applyProtection="0"/>
    <xf numFmtId="4" fontId="24" fillId="0" borderId="0" applyFont="0" applyFill="0" applyBorder="0" applyAlignment="0" applyProtection="0"/>
    <xf numFmtId="0" fontId="25" fillId="0" borderId="20">
      <alignment horizontal="center"/>
    </xf>
  </cellStyleXfs>
  <cellXfs count="327">
    <xf numFmtId="164" fontId="0" fillId="0" borderId="0" xfId="0"/>
    <xf numFmtId="164" fontId="0" fillId="0" borderId="0" xfId="0" applyAlignment="1">
      <alignment vertical="center"/>
    </xf>
    <xf numFmtId="164" fontId="0" fillId="0" borderId="0" xfId="0" applyBorder="1" applyAlignment="1">
      <alignment vertical="center"/>
    </xf>
    <xf numFmtId="164" fontId="3" fillId="0" borderId="0" xfId="0" applyFont="1" applyAlignment="1">
      <alignment vertical="center"/>
    </xf>
    <xf numFmtId="164" fontId="4" fillId="0" borderId="2" xfId="0" applyFont="1" applyBorder="1" applyAlignment="1">
      <alignment horizontal="center" vertical="center" wrapText="1"/>
    </xf>
    <xf numFmtId="164" fontId="5" fillId="0" borderId="2" xfId="0" applyFont="1" applyBorder="1" applyAlignment="1">
      <alignment horizontal="center" vertical="center" wrapText="1"/>
    </xf>
    <xf numFmtId="164" fontId="5" fillId="0" borderId="0" xfId="0" applyFont="1" applyBorder="1" applyAlignment="1">
      <alignment horizontal="center" vertical="center" wrapText="1"/>
    </xf>
    <xf numFmtId="164" fontId="4" fillId="0" borderId="0" xfId="0" applyFont="1" applyBorder="1" applyAlignment="1">
      <alignment horizontal="center" vertical="center" wrapText="1"/>
    </xf>
    <xf numFmtId="165" fontId="4" fillId="0" borderId="0" xfId="1" applyNumberFormat="1" applyFont="1" applyBorder="1" applyAlignment="1">
      <alignment horizontal="center" vertical="center" wrapText="1"/>
    </xf>
    <xf numFmtId="164" fontId="3" fillId="0" borderId="3" xfId="0" applyFont="1" applyBorder="1" applyAlignment="1">
      <alignment horizontal="centerContinuous" vertical="center"/>
    </xf>
    <xf numFmtId="164" fontId="3" fillId="0" borderId="5" xfId="0" applyFont="1" applyBorder="1" applyAlignment="1">
      <alignment horizontal="centerContinuous" vertical="center"/>
    </xf>
    <xf numFmtId="164" fontId="3" fillId="0" borderId="2" xfId="0" applyFont="1" applyBorder="1" applyAlignment="1">
      <alignment horizontal="center" vertical="center"/>
    </xf>
    <xf numFmtId="164" fontId="6" fillId="0" borderId="0" xfId="0" applyFont="1" applyBorder="1" applyAlignment="1">
      <alignment horizontal="center" vertical="center" wrapText="1"/>
    </xf>
    <xf numFmtId="164" fontId="0" fillId="0" borderId="0" xfId="0" applyAlignment="1">
      <alignment horizontal="center" vertical="center"/>
    </xf>
    <xf numFmtId="165" fontId="0" fillId="0" borderId="0" xfId="0" applyNumberFormat="1" applyAlignment="1">
      <alignment vertical="center"/>
    </xf>
    <xf numFmtId="164" fontId="2" fillId="0" borderId="1" xfId="2" applyAlignment="1">
      <alignment vertical="center"/>
    </xf>
    <xf numFmtId="164" fontId="2" fillId="0" borderId="1" xfId="2" applyAlignment="1">
      <alignment horizontal="center" vertical="center"/>
    </xf>
    <xf numFmtId="164" fontId="2" fillId="0" borderId="1" xfId="2" applyNumberFormat="1" applyAlignment="1">
      <alignment vertical="center"/>
    </xf>
    <xf numFmtId="1" fontId="2" fillId="0" borderId="1" xfId="2" applyNumberFormat="1" applyAlignment="1">
      <alignment horizontal="center" vertical="center"/>
    </xf>
    <xf numFmtId="164" fontId="0" fillId="0" borderId="0" xfId="0" quotePrefix="1" applyAlignment="1">
      <alignment vertical="center"/>
    </xf>
    <xf numFmtId="164" fontId="7" fillId="0" borderId="2" xfId="0" applyFont="1" applyBorder="1" applyAlignment="1">
      <alignment horizontal="center" vertical="center" wrapText="1"/>
    </xf>
    <xf numFmtId="164" fontId="8" fillId="0" borderId="0" xfId="0" applyFont="1" applyAlignment="1">
      <alignment horizontal="right" vertical="center"/>
    </xf>
    <xf numFmtId="43" fontId="2" fillId="0" borderId="1" xfId="1" applyFont="1" applyBorder="1" applyAlignment="1">
      <alignment horizontal="center" vertical="center"/>
    </xf>
    <xf numFmtId="43" fontId="0" fillId="0" borderId="0" xfId="1" applyFont="1" applyAlignment="1">
      <alignment vertical="center"/>
    </xf>
    <xf numFmtId="43" fontId="5" fillId="0" borderId="2" xfId="1" applyFont="1" applyBorder="1" applyAlignment="1">
      <alignment horizontal="center" vertical="center" wrapText="1"/>
    </xf>
    <xf numFmtId="43" fontId="4" fillId="0" borderId="2" xfId="1" applyFont="1" applyBorder="1" applyAlignment="1">
      <alignment horizontal="center" vertical="center" wrapText="1"/>
    </xf>
    <xf numFmtId="43" fontId="4" fillId="0" borderId="0" xfId="1" applyFont="1" applyBorder="1" applyAlignment="1">
      <alignment horizontal="center" vertical="center" wrapText="1"/>
    </xf>
    <xf numFmtId="164" fontId="9" fillId="0" borderId="2" xfId="0" applyFont="1" applyBorder="1" applyAlignment="1">
      <alignment horizontal="center" vertical="center" wrapText="1"/>
    </xf>
    <xf numFmtId="165" fontId="9" fillId="0" borderId="2" xfId="1" applyNumberFormat="1" applyFont="1" applyBorder="1" applyAlignment="1">
      <alignment horizontal="center" vertical="center" wrapText="1"/>
    </xf>
    <xf numFmtId="43" fontId="9" fillId="0" borderId="2" xfId="1" applyFont="1" applyBorder="1" applyAlignment="1">
      <alignment horizontal="center" vertical="center" wrapText="1"/>
    </xf>
    <xf numFmtId="164" fontId="5" fillId="0" borderId="2" xfId="0" applyFont="1" applyBorder="1" applyAlignment="1">
      <alignment horizontal="center" vertical="center" wrapText="1"/>
    </xf>
    <xf numFmtId="1" fontId="6" fillId="0" borderId="0" xfId="0" applyNumberFormat="1" applyFont="1" applyBorder="1" applyAlignment="1">
      <alignment horizontal="center" vertical="center" wrapText="1"/>
    </xf>
    <xf numFmtId="165" fontId="6" fillId="0" borderId="0" xfId="0" applyNumberFormat="1" applyFont="1" applyBorder="1" applyAlignment="1">
      <alignment horizontal="center" vertical="center" wrapText="1"/>
    </xf>
    <xf numFmtId="164" fontId="8" fillId="0" borderId="0" xfId="0" applyFont="1" applyAlignment="1">
      <alignment vertical="center"/>
    </xf>
    <xf numFmtId="164" fontId="5" fillId="0" borderId="2" xfId="0" applyFont="1" applyBorder="1" applyAlignment="1">
      <alignment horizontal="center" vertical="center" wrapText="1"/>
    </xf>
    <xf numFmtId="164" fontId="2" fillId="0" borderId="0" xfId="2" applyBorder="1" applyAlignment="1">
      <alignment vertical="center"/>
    </xf>
    <xf numFmtId="165" fontId="6" fillId="0" borderId="2" xfId="1" applyNumberFormat="1" applyFont="1" applyBorder="1" applyAlignment="1">
      <alignment horizontal="center" vertical="center" wrapText="1"/>
    </xf>
    <xf numFmtId="164" fontId="6" fillId="0" borderId="7" xfId="0" applyFont="1" applyBorder="1" applyAlignment="1">
      <alignment horizontal="center" vertical="center" wrapText="1"/>
    </xf>
    <xf numFmtId="165" fontId="2" fillId="0" borderId="1" xfId="1" applyNumberFormat="1" applyFont="1" applyBorder="1" applyAlignment="1">
      <alignment horizontal="center" vertical="center"/>
    </xf>
    <xf numFmtId="165" fontId="0" fillId="0" borderId="0" xfId="1" applyNumberFormat="1" applyFont="1" applyAlignment="1">
      <alignment vertical="center"/>
    </xf>
    <xf numFmtId="165" fontId="5" fillId="0" borderId="2" xfId="1" applyNumberFormat="1" applyFont="1" applyBorder="1" applyAlignment="1">
      <alignment horizontal="center" vertical="center" wrapText="1"/>
    </xf>
    <xf numFmtId="164" fontId="6" fillId="0" borderId="8" xfId="0" applyFont="1" applyBorder="1" applyAlignment="1">
      <alignment horizontal="center" vertical="center" wrapText="1"/>
    </xf>
    <xf numFmtId="166" fontId="9" fillId="0" borderId="2" xfId="3" applyNumberFormat="1" applyFont="1" applyBorder="1" applyAlignment="1">
      <alignment horizontal="center" vertical="center" wrapText="1"/>
    </xf>
    <xf numFmtId="166" fontId="6" fillId="0" borderId="2" xfId="3" applyNumberFormat="1" applyFont="1" applyBorder="1" applyAlignment="1">
      <alignment horizontal="center" vertical="center" wrapText="1"/>
    </xf>
    <xf numFmtId="166" fontId="8" fillId="0" borderId="6" xfId="3" applyNumberFormat="1" applyFont="1" applyBorder="1" applyAlignment="1">
      <alignment horizontal="right" vertical="center"/>
    </xf>
    <xf numFmtId="0" fontId="10" fillId="0" borderId="0" xfId="4" applyFont="1" applyFill="1" applyBorder="1"/>
    <xf numFmtId="0" fontId="10" fillId="0" borderId="9" xfId="4" applyFont="1" applyFill="1" applyBorder="1" applyAlignment="1">
      <alignment horizontal="center"/>
    </xf>
    <xf numFmtId="0" fontId="10" fillId="0" borderId="0" xfId="4" applyFont="1" applyFill="1"/>
    <xf numFmtId="0" fontId="10" fillId="0" borderId="10" xfId="4" applyFont="1" applyFill="1" applyBorder="1"/>
    <xf numFmtId="0" fontId="10" fillId="0" borderId="11" xfId="4" applyFont="1" applyFill="1" applyBorder="1"/>
    <xf numFmtId="0" fontId="10" fillId="0" borderId="12" xfId="4" applyFont="1" applyFill="1" applyBorder="1"/>
    <xf numFmtId="167" fontId="10" fillId="0" borderId="0" xfId="4" applyNumberFormat="1" applyFont="1" applyFill="1" applyBorder="1"/>
    <xf numFmtId="167" fontId="10" fillId="0" borderId="0" xfId="4" applyNumberFormat="1" applyFont="1" applyFill="1"/>
    <xf numFmtId="42" fontId="10" fillId="0" borderId="0" xfId="4" applyNumberFormat="1" applyFont="1" applyFill="1" applyBorder="1"/>
    <xf numFmtId="42" fontId="10" fillId="0" borderId="13" xfId="4" applyNumberFormat="1" applyFont="1" applyFill="1" applyBorder="1"/>
    <xf numFmtId="42" fontId="10" fillId="0" borderId="14" xfId="4" applyNumberFormat="1" applyFont="1" applyFill="1" applyBorder="1"/>
    <xf numFmtId="41" fontId="10" fillId="0" borderId="15" xfId="4" applyNumberFormat="1" applyFont="1" applyFill="1" applyBorder="1"/>
    <xf numFmtId="0" fontId="10" fillId="0" borderId="14" xfId="4" applyFont="1" applyFill="1" applyBorder="1"/>
    <xf numFmtId="0" fontId="10" fillId="0" borderId="15" xfId="4" applyFont="1" applyFill="1" applyBorder="1"/>
    <xf numFmtId="0" fontId="10" fillId="0" borderId="14" xfId="4" applyFont="1" applyFill="1" applyBorder="1" applyAlignment="1">
      <alignment horizontal="right"/>
    </xf>
    <xf numFmtId="0" fontId="10" fillId="0" borderId="13" xfId="4" applyFont="1" applyFill="1" applyBorder="1"/>
    <xf numFmtId="42" fontId="10" fillId="0" borderId="16" xfId="4" applyNumberFormat="1" applyFont="1" applyFill="1" applyBorder="1"/>
    <xf numFmtId="41" fontId="10" fillId="0" borderId="17" xfId="4" applyNumberFormat="1" applyFont="1" applyFill="1" applyBorder="1"/>
    <xf numFmtId="10" fontId="10" fillId="0" borderId="16" xfId="5" applyNumberFormat="1" applyFont="1" applyFill="1" applyBorder="1" applyAlignment="1">
      <alignment horizontal="center"/>
    </xf>
    <xf numFmtId="10" fontId="10" fillId="0" borderId="17" xfId="5" applyNumberFormat="1" applyFont="1" applyFill="1" applyBorder="1" applyAlignment="1">
      <alignment horizontal="center"/>
    </xf>
    <xf numFmtId="10" fontId="10" fillId="0" borderId="16" xfId="5" applyNumberFormat="1" applyFont="1" applyFill="1" applyBorder="1"/>
    <xf numFmtId="0" fontId="10" fillId="0" borderId="0" xfId="4" applyFont="1" applyFill="1" applyBorder="1" applyAlignment="1">
      <alignment horizontal="left" indent="1"/>
    </xf>
    <xf numFmtId="0" fontId="10" fillId="0" borderId="17" xfId="4" applyFont="1" applyFill="1" applyBorder="1" applyAlignment="1">
      <alignment horizontal="left" indent="1"/>
    </xf>
    <xf numFmtId="0" fontId="10" fillId="0" borderId="0" xfId="4" applyFont="1" applyFill="1" applyAlignment="1">
      <alignment horizontal="right"/>
    </xf>
    <xf numFmtId="0" fontId="10" fillId="0" borderId="16" xfId="4" applyFont="1" applyFill="1" applyBorder="1" applyAlignment="1">
      <alignment horizontal="center"/>
    </xf>
    <xf numFmtId="0" fontId="10" fillId="0" borderId="17" xfId="4" applyFont="1" applyFill="1" applyBorder="1" applyAlignment="1">
      <alignment horizontal="center"/>
    </xf>
    <xf numFmtId="0" fontId="11" fillId="0" borderId="5" xfId="4" applyFont="1" applyFill="1" applyBorder="1" applyAlignment="1">
      <alignment horizontal="center"/>
    </xf>
    <xf numFmtId="0" fontId="11" fillId="0" borderId="3" xfId="4" applyFont="1" applyFill="1" applyBorder="1" applyAlignment="1">
      <alignment horizontal="center"/>
    </xf>
    <xf numFmtId="0" fontId="10" fillId="0" borderId="4" xfId="4" applyFont="1" applyFill="1" applyBorder="1"/>
    <xf numFmtId="0" fontId="11" fillId="0" borderId="4" xfId="4" applyFont="1" applyFill="1" applyBorder="1"/>
    <xf numFmtId="0" fontId="11" fillId="0" borderId="3" xfId="4" applyFont="1" applyFill="1" applyBorder="1"/>
    <xf numFmtId="10" fontId="12" fillId="0" borderId="2" xfId="5" applyNumberFormat="1" applyFont="1" applyFill="1" applyBorder="1"/>
    <xf numFmtId="0" fontId="12" fillId="0" borderId="2" xfId="4" applyFont="1" applyFill="1" applyBorder="1"/>
    <xf numFmtId="42" fontId="10" fillId="0" borderId="0" xfId="4" applyNumberFormat="1" applyFont="1" applyFill="1"/>
    <xf numFmtId="0" fontId="10" fillId="0" borderId="18" xfId="4" applyFont="1" applyFill="1" applyBorder="1"/>
    <xf numFmtId="42" fontId="10" fillId="0" borderId="19" xfId="4" applyNumberFormat="1" applyFont="1" applyFill="1" applyBorder="1"/>
    <xf numFmtId="41" fontId="10" fillId="0" borderId="19" xfId="4" applyNumberFormat="1" applyFont="1" applyFill="1" applyBorder="1"/>
    <xf numFmtId="0" fontId="10" fillId="0" borderId="20" xfId="4" applyFont="1" applyFill="1" applyBorder="1" applyAlignment="1">
      <alignment horizontal="right"/>
    </xf>
    <xf numFmtId="0" fontId="10" fillId="0" borderId="20" xfId="4" applyFont="1" applyFill="1" applyBorder="1"/>
    <xf numFmtId="0" fontId="10" fillId="0" borderId="21" xfId="4" applyFont="1" applyFill="1" applyBorder="1"/>
    <xf numFmtId="0" fontId="10" fillId="0" borderId="8" xfId="4" applyFont="1" applyFill="1" applyBorder="1"/>
    <xf numFmtId="0" fontId="10" fillId="0" borderId="22" xfId="4" applyFont="1" applyFill="1" applyBorder="1"/>
    <xf numFmtId="0" fontId="10" fillId="0" borderId="23" xfId="4" applyFont="1" applyFill="1" applyBorder="1"/>
    <xf numFmtId="10" fontId="10" fillId="0" borderId="2" xfId="5" applyNumberFormat="1" applyFont="1" applyFill="1" applyBorder="1"/>
    <xf numFmtId="0" fontId="10" fillId="0" borderId="2" xfId="4" applyFont="1" applyFill="1" applyBorder="1"/>
    <xf numFmtId="0" fontId="10" fillId="0" borderId="24" xfId="4" applyFont="1" applyFill="1" applyBorder="1"/>
    <xf numFmtId="0" fontId="10" fillId="0" borderId="25" xfId="4" applyFont="1" applyFill="1" applyBorder="1"/>
    <xf numFmtId="166" fontId="10" fillId="0" borderId="0" xfId="4" applyNumberFormat="1" applyFont="1" applyFill="1" applyBorder="1"/>
    <xf numFmtId="166" fontId="10" fillId="0" borderId="0" xfId="4" applyNumberFormat="1" applyFont="1" applyFill="1"/>
    <xf numFmtId="10" fontId="10" fillId="0" borderId="0" xfId="5" applyNumberFormat="1" applyFont="1" applyFill="1"/>
    <xf numFmtId="166" fontId="10" fillId="0" borderId="4" xfId="4" applyNumberFormat="1" applyFont="1" applyFill="1" applyBorder="1"/>
    <xf numFmtId="41" fontId="10" fillId="0" borderId="0" xfId="4" applyNumberFormat="1" applyFont="1" applyFill="1" applyBorder="1"/>
    <xf numFmtId="0" fontId="10" fillId="0" borderId="0" xfId="4" applyFont="1" applyFill="1" applyBorder="1" applyAlignment="1">
      <alignment horizontal="right"/>
    </xf>
    <xf numFmtId="167" fontId="10" fillId="0" borderId="11" xfId="4" applyNumberFormat="1" applyFont="1" applyFill="1" applyBorder="1"/>
    <xf numFmtId="42" fontId="10" fillId="0" borderId="11" xfId="4" applyNumberFormat="1" applyFont="1" applyFill="1" applyBorder="1"/>
    <xf numFmtId="166" fontId="10" fillId="0" borderId="11" xfId="4" applyNumberFormat="1" applyFont="1" applyFill="1" applyBorder="1"/>
    <xf numFmtId="0" fontId="10" fillId="0" borderId="26" xfId="4" applyFont="1" applyFill="1" applyBorder="1"/>
    <xf numFmtId="41" fontId="10" fillId="0" borderId="11" xfId="4" applyNumberFormat="1" applyFont="1" applyFill="1" applyBorder="1"/>
    <xf numFmtId="0" fontId="10" fillId="0" borderId="27" xfId="4" applyFont="1" applyFill="1" applyBorder="1"/>
    <xf numFmtId="41" fontId="10" fillId="2" borderId="0" xfId="4" applyNumberFormat="1" applyFont="1" applyFill="1" applyBorder="1"/>
    <xf numFmtId="0" fontId="10" fillId="2" borderId="0" xfId="4" applyFont="1" applyFill="1" applyBorder="1"/>
    <xf numFmtId="0" fontId="10" fillId="2" borderId="25" xfId="4" applyFont="1" applyFill="1" applyBorder="1"/>
    <xf numFmtId="166" fontId="10" fillId="3" borderId="0" xfId="4" applyNumberFormat="1" applyFont="1" applyFill="1" applyBorder="1"/>
    <xf numFmtId="0" fontId="13" fillId="4" borderId="24" xfId="4" applyFont="1" applyFill="1" applyBorder="1"/>
    <xf numFmtId="0" fontId="14" fillId="4" borderId="0" xfId="4" applyFont="1" applyFill="1" applyBorder="1" applyAlignment="1">
      <alignment horizontal="right"/>
    </xf>
    <xf numFmtId="0" fontId="14" fillId="4" borderId="0" xfId="4" applyFont="1" applyFill="1" applyBorder="1"/>
    <xf numFmtId="0" fontId="13" fillId="4" borderId="0" xfId="4" applyFont="1" applyFill="1" applyBorder="1" applyAlignment="1">
      <alignment horizontal="center"/>
    </xf>
    <xf numFmtId="0" fontId="13" fillId="4" borderId="0" xfId="4" applyFont="1" applyFill="1" applyBorder="1"/>
    <xf numFmtId="0" fontId="15" fillId="4" borderId="25" xfId="4" applyFont="1" applyFill="1" applyBorder="1"/>
    <xf numFmtId="0" fontId="13" fillId="0" borderId="0" xfId="4" applyFont="1" applyFill="1" applyBorder="1"/>
    <xf numFmtId="0" fontId="14" fillId="0" borderId="0" xfId="4" applyFont="1" applyFill="1" applyBorder="1" applyAlignment="1">
      <alignment horizontal="center"/>
    </xf>
    <xf numFmtId="0" fontId="14" fillId="4" borderId="28" xfId="4" applyFont="1" applyFill="1" applyBorder="1" applyAlignment="1">
      <alignment horizontal="center"/>
    </xf>
    <xf numFmtId="0" fontId="13" fillId="4" borderId="29" xfId="4" applyFont="1" applyFill="1" applyBorder="1"/>
    <xf numFmtId="0" fontId="14" fillId="4" borderId="28" xfId="4" applyFont="1" applyFill="1" applyBorder="1" applyAlignment="1">
      <alignment horizontal="right"/>
    </xf>
    <xf numFmtId="0" fontId="14" fillId="4" borderId="28" xfId="4" applyFont="1" applyFill="1" applyBorder="1"/>
    <xf numFmtId="0" fontId="13" fillId="4" borderId="28" xfId="4" applyFont="1" applyFill="1" applyBorder="1" applyAlignment="1">
      <alignment horizontal="center"/>
    </xf>
    <xf numFmtId="0" fontId="13" fillId="4" borderId="28" xfId="4" applyFont="1" applyFill="1" applyBorder="1"/>
    <xf numFmtId="0" fontId="15" fillId="4" borderId="30" xfId="4" applyFont="1" applyFill="1" applyBorder="1"/>
    <xf numFmtId="0" fontId="16" fillId="0" borderId="0" xfId="4" applyFont="1"/>
    <xf numFmtId="44" fontId="10" fillId="0" borderId="0" xfId="6" applyFont="1" applyFill="1" applyBorder="1"/>
    <xf numFmtId="42" fontId="10" fillId="0" borderId="3" xfId="4" applyNumberFormat="1" applyFont="1" applyFill="1" applyBorder="1"/>
    <xf numFmtId="41" fontId="10" fillId="0" borderId="2" xfId="4" applyNumberFormat="1" applyFont="1" applyFill="1" applyBorder="1"/>
    <xf numFmtId="44" fontId="10" fillId="0" borderId="0" xfId="4" applyNumberFormat="1" applyFont="1" applyFill="1" applyBorder="1"/>
    <xf numFmtId="41" fontId="10" fillId="2" borderId="11" xfId="4" applyNumberFormat="1" applyFont="1" applyFill="1" applyBorder="1"/>
    <xf numFmtId="44" fontId="10" fillId="0" borderId="11" xfId="4" applyNumberFormat="1" applyFont="1" applyFill="1" applyBorder="1"/>
    <xf numFmtId="0" fontId="10" fillId="2" borderId="11" xfId="4" applyFont="1" applyFill="1" applyBorder="1"/>
    <xf numFmtId="0" fontId="17" fillId="0" borderId="11" xfId="4" applyFont="1" applyFill="1" applyBorder="1"/>
    <xf numFmtId="165" fontId="10" fillId="0" borderId="11" xfId="7" applyNumberFormat="1" applyFont="1" applyFill="1" applyBorder="1"/>
    <xf numFmtId="165" fontId="10" fillId="0" borderId="27" xfId="7" applyNumberFormat="1" applyFont="1" applyFill="1" applyBorder="1"/>
    <xf numFmtId="44" fontId="10" fillId="0" borderId="24" xfId="6" applyFont="1" applyFill="1" applyBorder="1"/>
    <xf numFmtId="0" fontId="17" fillId="0" borderId="0" xfId="4" applyFont="1" applyFill="1" applyBorder="1"/>
    <xf numFmtId="165" fontId="10" fillId="0" borderId="0" xfId="7" applyNumberFormat="1" applyFont="1" applyFill="1" applyBorder="1"/>
    <xf numFmtId="165" fontId="10" fillId="0" borderId="25" xfId="7" applyNumberFormat="1" applyFont="1" applyFill="1" applyBorder="1"/>
    <xf numFmtId="0" fontId="14" fillId="4" borderId="29" xfId="4" applyFont="1" applyFill="1" applyBorder="1" applyAlignment="1">
      <alignment horizontal="right"/>
    </xf>
    <xf numFmtId="0" fontId="11" fillId="0" borderId="0" xfId="4" applyFont="1" applyFill="1" applyBorder="1" applyAlignment="1">
      <alignment horizontal="center"/>
    </xf>
    <xf numFmtId="0" fontId="11" fillId="0" borderId="0" xfId="4" applyFont="1" applyFill="1" applyAlignment="1">
      <alignment horizontal="center"/>
    </xf>
    <xf numFmtId="0" fontId="11" fillId="0" borderId="24" xfId="4" applyFont="1" applyFill="1" applyBorder="1" applyAlignment="1">
      <alignment horizontal="center"/>
    </xf>
    <xf numFmtId="0" fontId="11" fillId="0" borderId="0" xfId="4" applyFont="1" applyFill="1" applyBorder="1"/>
    <xf numFmtId="0" fontId="12" fillId="0" borderId="0" xfId="4" applyFont="1" applyFill="1" applyBorder="1" applyAlignment="1">
      <alignment horizontal="center"/>
    </xf>
    <xf numFmtId="0" fontId="11" fillId="0" borderId="25" xfId="4" applyFont="1" applyFill="1" applyBorder="1"/>
    <xf numFmtId="0" fontId="11" fillId="0" borderId="9" xfId="4" applyFont="1" applyFill="1" applyBorder="1" applyAlignment="1">
      <alignment horizontal="center"/>
    </xf>
    <xf numFmtId="0" fontId="12" fillId="0" borderId="2" xfId="4" applyFont="1" applyFill="1" applyBorder="1" applyAlignment="1">
      <alignment horizontal="center"/>
    </xf>
    <xf numFmtId="0" fontId="18" fillId="0" borderId="4" xfId="4" applyFont="1" applyFill="1" applyBorder="1" applyAlignment="1">
      <alignment horizontal="center"/>
    </xf>
    <xf numFmtId="0" fontId="18" fillId="0" borderId="11" xfId="4" applyFont="1" applyFill="1" applyBorder="1" applyAlignment="1">
      <alignment horizontal="center"/>
    </xf>
    <xf numFmtId="0" fontId="18" fillId="0" borderId="2" xfId="4" applyFont="1" applyFill="1" applyBorder="1" applyAlignment="1">
      <alignment horizontal="center"/>
    </xf>
    <xf numFmtId="0" fontId="18" fillId="0" borderId="16" xfId="4" applyFont="1" applyFill="1" applyBorder="1" applyAlignment="1">
      <alignment horizontal="center"/>
    </xf>
    <xf numFmtId="0" fontId="10" fillId="0" borderId="17" xfId="4" applyFont="1" applyFill="1" applyBorder="1"/>
    <xf numFmtId="10" fontId="10" fillId="0" borderId="31" xfId="5" applyNumberFormat="1" applyFont="1" applyFill="1" applyBorder="1"/>
    <xf numFmtId="10" fontId="10" fillId="0" borderId="32" xfId="5" applyNumberFormat="1" applyFont="1" applyFill="1" applyBorder="1"/>
    <xf numFmtId="168" fontId="19" fillId="0" borderId="33" xfId="7" applyNumberFormat="1" applyFont="1" applyFill="1" applyBorder="1" applyAlignment="1">
      <alignment horizontal="center"/>
    </xf>
    <xf numFmtId="169" fontId="19" fillId="0" borderId="24" xfId="5" applyNumberFormat="1" applyFont="1" applyFill="1" applyBorder="1" applyAlignment="1">
      <alignment horizontal="center"/>
    </xf>
    <xf numFmtId="10" fontId="10" fillId="2" borderId="34" xfId="5" applyNumberFormat="1" applyFont="1" applyFill="1" applyBorder="1"/>
    <xf numFmtId="10" fontId="10" fillId="0" borderId="35" xfId="5" applyNumberFormat="1" applyFont="1" applyFill="1" applyBorder="1"/>
    <xf numFmtId="10" fontId="10" fillId="2" borderId="32" xfId="5" applyNumberFormat="1" applyFont="1" applyFill="1" applyBorder="1"/>
    <xf numFmtId="168" fontId="10" fillId="0" borderId="32" xfId="7" applyNumberFormat="1" applyFont="1" applyFill="1" applyBorder="1" applyAlignment="1">
      <alignment horizontal="center"/>
    </xf>
    <xf numFmtId="10" fontId="10" fillId="0" borderId="32" xfId="5" applyNumberFormat="1" applyFont="1" applyFill="1" applyBorder="1" applyAlignment="1">
      <alignment horizontal="center"/>
    </xf>
    <xf numFmtId="0" fontId="10" fillId="2" borderId="36" xfId="4" applyFont="1" applyFill="1" applyBorder="1"/>
    <xf numFmtId="0" fontId="10" fillId="0" borderId="37" xfId="5" applyNumberFormat="1" applyFont="1" applyFill="1" applyBorder="1" applyAlignment="1">
      <alignment horizontal="center"/>
    </xf>
    <xf numFmtId="0" fontId="10" fillId="0" borderId="38" xfId="5" applyNumberFormat="1" applyFont="1" applyFill="1" applyBorder="1" applyAlignment="1">
      <alignment horizontal="center"/>
    </xf>
    <xf numFmtId="0" fontId="10" fillId="0" borderId="16" xfId="4" applyFont="1" applyFill="1" applyBorder="1"/>
    <xf numFmtId="10" fontId="10" fillId="0" borderId="39" xfId="5" applyNumberFormat="1" applyFont="1" applyFill="1" applyBorder="1"/>
    <xf numFmtId="168" fontId="19" fillId="0" borderId="40" xfId="7" applyNumberFormat="1" applyFont="1" applyFill="1" applyBorder="1" applyAlignment="1">
      <alignment horizontal="center"/>
    </xf>
    <xf numFmtId="10" fontId="10" fillId="2" borderId="41" xfId="5" applyNumberFormat="1" applyFont="1" applyFill="1" applyBorder="1"/>
    <xf numFmtId="10" fontId="10" fillId="0" borderId="42" xfId="5" applyNumberFormat="1" applyFont="1" applyFill="1" applyBorder="1"/>
    <xf numFmtId="10" fontId="10" fillId="2" borderId="39" xfId="5" applyNumberFormat="1" applyFont="1" applyFill="1" applyBorder="1"/>
    <xf numFmtId="168" fontId="10" fillId="0" borderId="39" xfId="7" applyNumberFormat="1" applyFont="1" applyFill="1" applyBorder="1" applyAlignment="1">
      <alignment horizontal="center"/>
    </xf>
    <xf numFmtId="10" fontId="10" fillId="0" borderId="39" xfId="5" applyNumberFormat="1" applyFont="1" applyFill="1" applyBorder="1" applyAlignment="1">
      <alignment horizontal="center"/>
    </xf>
    <xf numFmtId="0" fontId="10" fillId="2" borderId="43" xfId="4" applyFont="1" applyFill="1" applyBorder="1"/>
    <xf numFmtId="0" fontId="10" fillId="0" borderId="44" xfId="5" applyNumberFormat="1" applyFont="1" applyFill="1" applyBorder="1" applyAlignment="1">
      <alignment horizontal="center"/>
    </xf>
    <xf numFmtId="0" fontId="10" fillId="0" borderId="45" xfId="5" applyNumberFormat="1" applyFont="1" applyFill="1" applyBorder="1" applyAlignment="1">
      <alignment horizontal="center"/>
    </xf>
    <xf numFmtId="10" fontId="10" fillId="0" borderId="46" xfId="5" applyNumberFormat="1" applyFont="1" applyFill="1" applyBorder="1"/>
    <xf numFmtId="10" fontId="10" fillId="0" borderId="47" xfId="5" applyNumberFormat="1" applyFont="1" applyFill="1" applyBorder="1"/>
    <xf numFmtId="168" fontId="19" fillId="0" borderId="38" xfId="7" applyNumberFormat="1" applyFont="1" applyFill="1" applyBorder="1" applyAlignment="1">
      <alignment horizontal="center"/>
    </xf>
    <xf numFmtId="10" fontId="10" fillId="2" borderId="48" xfId="5" applyNumberFormat="1" applyFont="1" applyFill="1" applyBorder="1"/>
    <xf numFmtId="10" fontId="10" fillId="0" borderId="37" xfId="5" applyNumberFormat="1" applyFont="1" applyFill="1" applyBorder="1"/>
    <xf numFmtId="10" fontId="10" fillId="2" borderId="47" xfId="5" applyNumberFormat="1" applyFont="1" applyFill="1" applyBorder="1"/>
    <xf numFmtId="168" fontId="10" fillId="0" borderId="47" xfId="7" applyNumberFormat="1" applyFont="1" applyFill="1" applyBorder="1" applyAlignment="1">
      <alignment horizontal="center"/>
    </xf>
    <xf numFmtId="10" fontId="10" fillId="0" borderId="47" xfId="5" applyNumberFormat="1" applyFont="1" applyFill="1" applyBorder="1" applyAlignment="1">
      <alignment horizontal="center"/>
    </xf>
    <xf numFmtId="0" fontId="10" fillId="2" borderId="49" xfId="4" applyFont="1" applyFill="1" applyBorder="1"/>
    <xf numFmtId="10" fontId="10" fillId="0" borderId="50" xfId="5" applyNumberFormat="1" applyFont="1" applyFill="1" applyBorder="1"/>
    <xf numFmtId="168" fontId="19" fillId="0" borderId="51" xfId="7" applyNumberFormat="1" applyFont="1" applyFill="1" applyBorder="1" applyAlignment="1">
      <alignment horizontal="center"/>
    </xf>
    <xf numFmtId="10" fontId="10" fillId="2" borderId="52" xfId="5" applyNumberFormat="1" applyFont="1" applyFill="1" applyBorder="1"/>
    <xf numFmtId="10" fontId="10" fillId="0" borderId="53" xfId="5" applyNumberFormat="1" applyFont="1" applyFill="1" applyBorder="1"/>
    <xf numFmtId="10" fontId="10" fillId="2" borderId="50" xfId="5" applyNumberFormat="1" applyFont="1" applyFill="1" applyBorder="1"/>
    <xf numFmtId="168" fontId="10" fillId="0" borderId="50" xfId="7" applyNumberFormat="1" applyFont="1" applyFill="1" applyBorder="1" applyAlignment="1">
      <alignment horizontal="center"/>
    </xf>
    <xf numFmtId="10" fontId="10" fillId="0" borderId="50" xfId="5" applyNumberFormat="1" applyFont="1" applyFill="1" applyBorder="1" applyAlignment="1">
      <alignment horizontal="center"/>
    </xf>
    <xf numFmtId="0" fontId="10" fillId="2" borderId="54" xfId="4" applyFont="1" applyFill="1" applyBorder="1"/>
    <xf numFmtId="0" fontId="10" fillId="0" borderId="53" xfId="5" applyNumberFormat="1" applyFont="1" applyFill="1" applyBorder="1" applyAlignment="1">
      <alignment horizontal="center"/>
    </xf>
    <xf numFmtId="0" fontId="10" fillId="0" borderId="51" xfId="5" applyNumberFormat="1" applyFont="1" applyFill="1" applyBorder="1" applyAlignment="1">
      <alignment horizontal="center"/>
    </xf>
    <xf numFmtId="168" fontId="19" fillId="0" borderId="45" xfId="7" applyNumberFormat="1" applyFont="1" applyFill="1" applyBorder="1" applyAlignment="1">
      <alignment horizontal="center"/>
    </xf>
    <xf numFmtId="10" fontId="19" fillId="0" borderId="24" xfId="5" applyNumberFormat="1" applyFont="1" applyFill="1" applyBorder="1" applyAlignment="1">
      <alignment horizontal="center"/>
    </xf>
    <xf numFmtId="10" fontId="10" fillId="0" borderId="44" xfId="5" applyNumberFormat="1" applyFont="1" applyFill="1" applyBorder="1"/>
    <xf numFmtId="10" fontId="10" fillId="2" borderId="55" xfId="5" applyNumberFormat="1" applyFont="1" applyFill="1" applyBorder="1"/>
    <xf numFmtId="168" fontId="10" fillId="0" borderId="55" xfId="7" applyNumberFormat="1" applyFont="1" applyFill="1" applyBorder="1" applyAlignment="1">
      <alignment horizontal="center"/>
    </xf>
    <xf numFmtId="10" fontId="10" fillId="0" borderId="55" xfId="5" applyNumberFormat="1" applyFont="1" applyFill="1" applyBorder="1" applyAlignment="1">
      <alignment horizontal="center"/>
    </xf>
    <xf numFmtId="0" fontId="10" fillId="2" borderId="56" xfId="4" applyFont="1" applyFill="1" applyBorder="1"/>
    <xf numFmtId="42" fontId="10" fillId="2" borderId="55" xfId="5" applyNumberFormat="1" applyFont="1" applyFill="1" applyBorder="1"/>
    <xf numFmtId="166" fontId="10" fillId="5" borderId="50" xfId="6" applyNumberFormat="1" applyFont="1" applyFill="1" applyBorder="1"/>
    <xf numFmtId="166" fontId="10" fillId="2" borderId="50" xfId="6" applyNumberFormat="1" applyFont="1" applyFill="1" applyBorder="1"/>
    <xf numFmtId="44" fontId="10" fillId="0" borderId="50" xfId="5" applyNumberFormat="1" applyFont="1" applyFill="1" applyBorder="1"/>
    <xf numFmtId="0" fontId="11" fillId="0" borderId="4" xfId="4" applyFont="1" applyFill="1" applyBorder="1" applyAlignment="1">
      <alignment horizontal="center"/>
    </xf>
    <xf numFmtId="0" fontId="20" fillId="0" borderId="4" xfId="4" applyFont="1" applyFill="1" applyBorder="1" applyAlignment="1">
      <alignment horizontal="center"/>
    </xf>
    <xf numFmtId="0" fontId="20" fillId="0" borderId="24" xfId="4" applyFont="1" applyFill="1" applyBorder="1" applyAlignment="1">
      <alignment horizontal="center"/>
    </xf>
    <xf numFmtId="14" fontId="10" fillId="0" borderId="0" xfId="4" applyNumberFormat="1" applyFont="1" applyFill="1" applyBorder="1" applyAlignment="1">
      <alignment horizontal="center"/>
    </xf>
    <xf numFmtId="14" fontId="10" fillId="0" borderId="2" xfId="4" applyNumberFormat="1" applyFont="1" applyFill="1" applyBorder="1" applyAlignment="1">
      <alignment horizontal="center"/>
    </xf>
    <xf numFmtId="14" fontId="10" fillId="0" borderId="57" xfId="4" applyNumberFormat="1" applyFont="1" applyFill="1" applyBorder="1" applyAlignment="1">
      <alignment horizontal="center"/>
    </xf>
    <xf numFmtId="0" fontId="10" fillId="2" borderId="58" xfId="4" applyFont="1" applyFill="1" applyBorder="1" applyAlignment="1">
      <alignment horizontal="left"/>
    </xf>
    <xf numFmtId="0" fontId="10" fillId="0" borderId="5" xfId="4" applyFont="1" applyFill="1" applyBorder="1" applyAlignment="1">
      <alignment horizontal="center"/>
    </xf>
    <xf numFmtId="0" fontId="10" fillId="0" borderId="4" xfId="4" applyFont="1" applyFill="1" applyBorder="1" applyAlignment="1">
      <alignment horizontal="center"/>
    </xf>
    <xf numFmtId="0" fontId="19" fillId="0" borderId="4" xfId="4" applyFont="1" applyFill="1" applyBorder="1" applyAlignment="1">
      <alignment horizontal="center"/>
    </xf>
    <xf numFmtId="0" fontId="19" fillId="0" borderId="24" xfId="4" applyFont="1" applyFill="1" applyBorder="1" applyAlignment="1">
      <alignment horizontal="center"/>
    </xf>
    <xf numFmtId="0" fontId="21" fillId="0" borderId="5" xfId="4" applyFont="1" applyFill="1" applyBorder="1" applyAlignment="1">
      <alignment horizontal="center"/>
    </xf>
    <xf numFmtId="0" fontId="21" fillId="0" borderId="4" xfId="4" applyFont="1" applyFill="1" applyBorder="1" applyAlignment="1">
      <alignment horizontal="center"/>
    </xf>
    <xf numFmtId="0" fontId="21" fillId="0" borderId="3" xfId="4" applyFont="1" applyFill="1" applyBorder="1" applyAlignment="1">
      <alignment horizontal="center"/>
    </xf>
    <xf numFmtId="0" fontId="10" fillId="0" borderId="25" xfId="4" applyFont="1" applyFill="1" applyBorder="1" applyAlignment="1">
      <alignment horizontal="left"/>
    </xf>
    <xf numFmtId="0" fontId="12" fillId="0" borderId="17" xfId="4" applyFont="1" applyFill="1" applyBorder="1" applyAlignment="1">
      <alignment horizontal="center"/>
    </xf>
    <xf numFmtId="0" fontId="12" fillId="0" borderId="5" xfId="4" applyFont="1" applyFill="1" applyBorder="1" applyAlignment="1">
      <alignment horizontal="center"/>
    </xf>
    <xf numFmtId="0" fontId="12" fillId="0" borderId="59" xfId="4" applyFont="1" applyFill="1" applyBorder="1" applyAlignment="1">
      <alignment horizontal="center"/>
    </xf>
    <xf numFmtId="0" fontId="12" fillId="0" borderId="16" xfId="4" applyFont="1" applyFill="1" applyBorder="1" applyAlignment="1">
      <alignment horizontal="center"/>
    </xf>
    <xf numFmtId="0" fontId="10" fillId="0" borderId="11" xfId="4" applyFont="1" applyFill="1" applyBorder="1" applyAlignment="1">
      <alignment horizontal="center"/>
    </xf>
    <xf numFmtId="166" fontId="10" fillId="0" borderId="11" xfId="6" applyNumberFormat="1" applyFont="1" applyFill="1" applyBorder="1" applyAlignment="1"/>
    <xf numFmtId="0" fontId="12" fillId="0" borderId="0" xfId="4" applyFont="1" applyFill="1" applyBorder="1"/>
    <xf numFmtId="0" fontId="10" fillId="0" borderId="60" xfId="4" applyFont="1" applyFill="1" applyBorder="1" applyAlignment="1">
      <alignment horizontal="center"/>
    </xf>
    <xf numFmtId="10" fontId="10" fillId="0" borderId="20" xfId="5" applyNumberFormat="1" applyFont="1" applyFill="1" applyBorder="1"/>
    <xf numFmtId="0" fontId="10" fillId="0" borderId="61" xfId="4" applyFont="1" applyFill="1" applyBorder="1"/>
    <xf numFmtId="0" fontId="12" fillId="0" borderId="20" xfId="4" applyFont="1" applyFill="1" applyBorder="1"/>
    <xf numFmtId="0" fontId="10" fillId="0" borderId="20" xfId="4" applyFont="1" applyFill="1" applyBorder="1" applyAlignment="1">
      <alignment horizontal="left"/>
    </xf>
    <xf numFmtId="0" fontId="10" fillId="0" borderId="0" xfId="4" applyFont="1" applyFill="1" applyBorder="1" applyAlignment="1">
      <alignment horizontal="left"/>
    </xf>
    <xf numFmtId="0" fontId="10" fillId="0" borderId="59" xfId="4" applyFont="1" applyFill="1" applyBorder="1" applyAlignment="1">
      <alignment horizontal="center"/>
    </xf>
    <xf numFmtId="0" fontId="10" fillId="0" borderId="62" xfId="4" applyFont="1" applyFill="1" applyBorder="1"/>
    <xf numFmtId="0" fontId="10" fillId="0" borderId="63" xfId="4" applyFont="1" applyFill="1" applyBorder="1"/>
    <xf numFmtId="0" fontId="10" fillId="0" borderId="63" xfId="4" applyFont="1" applyFill="1" applyBorder="1" applyAlignment="1">
      <alignment horizontal="left"/>
    </xf>
    <xf numFmtId="0" fontId="10" fillId="0" borderId="64" xfId="4" applyFont="1" applyFill="1" applyBorder="1"/>
    <xf numFmtId="0" fontId="12" fillId="0" borderId="63" xfId="4" applyFont="1" applyFill="1" applyBorder="1"/>
    <xf numFmtId="0" fontId="10" fillId="0" borderId="65" xfId="4" applyFont="1" applyFill="1" applyBorder="1"/>
    <xf numFmtId="168" fontId="10" fillId="0" borderId="33" xfId="7" applyNumberFormat="1" applyFont="1" applyFill="1" applyBorder="1" applyAlignment="1">
      <alignment horizontal="center"/>
    </xf>
    <xf numFmtId="168" fontId="10" fillId="0" borderId="40" xfId="7" applyNumberFormat="1" applyFont="1" applyFill="1" applyBorder="1" applyAlignment="1">
      <alignment horizontal="center"/>
    </xf>
    <xf numFmtId="168" fontId="10" fillId="0" borderId="38" xfId="7" applyNumberFormat="1" applyFont="1" applyFill="1" applyBorder="1" applyAlignment="1">
      <alignment horizontal="center"/>
    </xf>
    <xf numFmtId="168" fontId="10" fillId="0" borderId="51" xfId="7" applyNumberFormat="1" applyFont="1" applyFill="1" applyBorder="1" applyAlignment="1">
      <alignment horizontal="center"/>
    </xf>
    <xf numFmtId="168" fontId="10" fillId="0" borderId="45" xfId="7" applyNumberFormat="1" applyFont="1" applyFill="1" applyBorder="1" applyAlignment="1">
      <alignment horizontal="center"/>
    </xf>
    <xf numFmtId="9" fontId="10" fillId="2" borderId="50" xfId="5" applyFont="1" applyFill="1" applyBorder="1"/>
    <xf numFmtId="0" fontId="19" fillId="0" borderId="24" xfId="4" applyFont="1" applyFill="1" applyBorder="1"/>
    <xf numFmtId="0" fontId="10" fillId="0" borderId="0" xfId="10"/>
    <xf numFmtId="0" fontId="10" fillId="0" borderId="0" xfId="10" applyFont="1"/>
    <xf numFmtId="10" fontId="12" fillId="6" borderId="66" xfId="5" applyNumberFormat="1" applyFont="1" applyFill="1" applyBorder="1"/>
    <xf numFmtId="0" fontId="12" fillId="0" borderId="67" xfId="10" applyFont="1" applyBorder="1"/>
    <xf numFmtId="10" fontId="10" fillId="3" borderId="68" xfId="5" applyNumberFormat="1" applyFont="1" applyFill="1" applyBorder="1"/>
    <xf numFmtId="0" fontId="12" fillId="0" borderId="58" xfId="10" applyFont="1" applyBorder="1"/>
    <xf numFmtId="10" fontId="10" fillId="3" borderId="69" xfId="5" applyNumberFormat="1" applyFont="1" applyFill="1" applyBorder="1"/>
    <xf numFmtId="0" fontId="12" fillId="0" borderId="70" xfId="10" applyFont="1" applyBorder="1"/>
    <xf numFmtId="10" fontId="10" fillId="0" borderId="0" xfId="10" applyNumberFormat="1"/>
    <xf numFmtId="10" fontId="12" fillId="7" borderId="66" xfId="5" applyNumberFormat="1" applyFont="1" applyFill="1" applyBorder="1"/>
    <xf numFmtId="10" fontId="12" fillId="7" borderId="71" xfId="5" applyNumberFormat="1" applyFont="1" applyFill="1" applyBorder="1"/>
    <xf numFmtId="0" fontId="10" fillId="7" borderId="71" xfId="10" applyFill="1" applyBorder="1"/>
    <xf numFmtId="0" fontId="12" fillId="7" borderId="67" xfId="10" applyFont="1" applyFill="1" applyBorder="1"/>
    <xf numFmtId="166" fontId="12" fillId="7" borderId="68" xfId="6" applyNumberFormat="1" applyFont="1" applyFill="1" applyBorder="1"/>
    <xf numFmtId="165" fontId="12" fillId="7" borderId="2" xfId="10" applyNumberFormat="1" applyFont="1" applyFill="1" applyBorder="1"/>
    <xf numFmtId="44" fontId="12" fillId="7" borderId="2" xfId="6" applyFont="1" applyFill="1" applyBorder="1"/>
    <xf numFmtId="166" fontId="12" fillId="7" borderId="2" xfId="6" applyNumberFormat="1" applyFont="1" applyFill="1" applyBorder="1"/>
    <xf numFmtId="0" fontId="10" fillId="7" borderId="2" xfId="10" applyFill="1" applyBorder="1"/>
    <xf numFmtId="0" fontId="12" fillId="7" borderId="58" xfId="10" applyFont="1" applyFill="1" applyBorder="1"/>
    <xf numFmtId="166" fontId="10" fillId="7" borderId="68" xfId="6" applyNumberFormat="1" applyFont="1" applyFill="1" applyBorder="1"/>
    <xf numFmtId="44" fontId="10" fillId="7" borderId="2" xfId="6" applyFont="1" applyFill="1" applyBorder="1"/>
    <xf numFmtId="166" fontId="10" fillId="7" borderId="2" xfId="6" applyNumberFormat="1" applyFont="1" applyFill="1" applyBorder="1"/>
    <xf numFmtId="0" fontId="10" fillId="7" borderId="58" xfId="10" applyFill="1" applyBorder="1"/>
    <xf numFmtId="165" fontId="12" fillId="7" borderId="2" xfId="7" applyNumberFormat="1" applyFont="1" applyFill="1" applyBorder="1"/>
    <xf numFmtId="166" fontId="10" fillId="7" borderId="0" xfId="6" applyNumberFormat="1" applyFont="1" applyFill="1" applyBorder="1"/>
    <xf numFmtId="0" fontId="12" fillId="7" borderId="2" xfId="10" applyFont="1" applyFill="1" applyBorder="1"/>
    <xf numFmtId="165" fontId="10" fillId="7" borderId="2" xfId="10" applyNumberFormat="1" applyFill="1" applyBorder="1"/>
    <xf numFmtId="0" fontId="12" fillId="7" borderId="58" xfId="10" applyFont="1" applyFill="1" applyBorder="1" applyAlignment="1">
      <alignment wrapText="1"/>
    </xf>
    <xf numFmtId="0" fontId="12" fillId="7" borderId="68" xfId="10" applyFont="1" applyFill="1" applyBorder="1"/>
    <xf numFmtId="166" fontId="12" fillId="0" borderId="68" xfId="6" applyNumberFormat="1" applyFont="1" applyBorder="1"/>
    <xf numFmtId="165" fontId="12" fillId="0" borderId="2" xfId="10" applyNumberFormat="1" applyFont="1" applyBorder="1"/>
    <xf numFmtId="166" fontId="12" fillId="0" borderId="2" xfId="6" applyNumberFormat="1" applyFont="1" applyBorder="1"/>
    <xf numFmtId="44" fontId="12" fillId="0" borderId="2" xfId="6" applyFont="1" applyBorder="1"/>
    <xf numFmtId="171" fontId="12" fillId="0" borderId="2" xfId="10" applyNumberFormat="1" applyFont="1" applyBorder="1"/>
    <xf numFmtId="0" fontId="12" fillId="0" borderId="2" xfId="10" applyFont="1" applyBorder="1"/>
    <xf numFmtId="0" fontId="12" fillId="0" borderId="2" xfId="10" applyFont="1" applyBorder="1" applyAlignment="1">
      <alignment horizontal="center" wrapText="1"/>
    </xf>
    <xf numFmtId="0" fontId="12" fillId="0" borderId="58" xfId="10" applyFont="1" applyBorder="1" applyAlignment="1">
      <alignment horizontal="center" wrapText="1"/>
    </xf>
    <xf numFmtId="0" fontId="12" fillId="0" borderId="2" xfId="10" applyFont="1" applyBorder="1" applyAlignment="1">
      <alignment wrapText="1"/>
    </xf>
    <xf numFmtId="0" fontId="12" fillId="0" borderId="68" xfId="10" applyFont="1" applyBorder="1"/>
    <xf numFmtId="166" fontId="0" fillId="0" borderId="68" xfId="6" applyNumberFormat="1" applyFont="1" applyBorder="1"/>
    <xf numFmtId="165" fontId="0" fillId="0" borderId="2" xfId="7" applyNumberFormat="1" applyFont="1" applyBorder="1"/>
    <xf numFmtId="166" fontId="10" fillId="0" borderId="2" xfId="6" applyNumberFormat="1" applyFont="1" applyBorder="1"/>
    <xf numFmtId="166" fontId="0" fillId="0" borderId="2" xfId="6" applyNumberFormat="1" applyFont="1" applyBorder="1"/>
    <xf numFmtId="0" fontId="10" fillId="0" borderId="2" xfId="10" applyBorder="1"/>
    <xf numFmtId="0" fontId="10" fillId="8" borderId="2" xfId="10" applyFill="1" applyBorder="1"/>
    <xf numFmtId="0" fontId="10" fillId="0" borderId="58" xfId="10" applyBorder="1"/>
    <xf numFmtId="166" fontId="10" fillId="0" borderId="68" xfId="6" applyNumberFormat="1" applyFont="1" applyBorder="1"/>
    <xf numFmtId="44" fontId="0" fillId="0" borderId="2" xfId="6" applyNumberFormat="1" applyFont="1" applyBorder="1"/>
    <xf numFmtId="44" fontId="10" fillId="0" borderId="2" xfId="6" applyFont="1" applyBorder="1"/>
    <xf numFmtId="0" fontId="12" fillId="0" borderId="72" xfId="10" applyFont="1" applyBorder="1"/>
    <xf numFmtId="0" fontId="12" fillId="0" borderId="73" xfId="10" applyFont="1" applyBorder="1"/>
    <xf numFmtId="0" fontId="12" fillId="0" borderId="74" xfId="10" applyFont="1" applyBorder="1"/>
    <xf numFmtId="0" fontId="12" fillId="0" borderId="0" xfId="10" applyFont="1"/>
    <xf numFmtId="0" fontId="19" fillId="0" borderId="0" xfId="10" applyFont="1"/>
    <xf numFmtId="166" fontId="10" fillId="0" borderId="66" xfId="10" applyNumberFormat="1" applyBorder="1"/>
    <xf numFmtId="166" fontId="10" fillId="0" borderId="71" xfId="10" applyNumberFormat="1" applyBorder="1"/>
    <xf numFmtId="0" fontId="10" fillId="0" borderId="71" xfId="10" applyBorder="1"/>
    <xf numFmtId="44" fontId="10" fillId="0" borderId="71" xfId="6" applyFont="1" applyBorder="1"/>
    <xf numFmtId="0" fontId="10" fillId="0" borderId="67" xfId="10" applyBorder="1"/>
    <xf numFmtId="166" fontId="10" fillId="0" borderId="68" xfId="10" applyNumberFormat="1" applyBorder="1"/>
    <xf numFmtId="166" fontId="10" fillId="0" borderId="2" xfId="10" applyNumberFormat="1" applyBorder="1"/>
    <xf numFmtId="166" fontId="12" fillId="0" borderId="0" xfId="6" applyNumberFormat="1" applyFont="1"/>
    <xf numFmtId="9" fontId="12" fillId="0" borderId="0" xfId="5" applyFont="1"/>
    <xf numFmtId="164" fontId="9" fillId="0" borderId="2" xfId="0" applyFont="1" applyBorder="1" applyAlignment="1">
      <alignment horizontal="left" vertical="center" wrapText="1"/>
    </xf>
    <xf numFmtId="164" fontId="6" fillId="0" borderId="0" xfId="0" applyFont="1" applyBorder="1" applyAlignment="1">
      <alignment horizontal="left" vertical="center" wrapText="1"/>
    </xf>
    <xf numFmtId="164" fontId="7" fillId="0" borderId="3" xfId="0" applyFont="1" applyBorder="1" applyAlignment="1">
      <alignment horizontal="left" vertical="center" wrapText="1"/>
    </xf>
    <xf numFmtId="164" fontId="7" fillId="0" borderId="4" xfId="0" applyFont="1" applyBorder="1" applyAlignment="1">
      <alignment horizontal="left" vertical="center" wrapText="1"/>
    </xf>
    <xf numFmtId="164" fontId="7" fillId="0" borderId="5" xfId="0" applyFont="1" applyBorder="1" applyAlignment="1">
      <alignment horizontal="left" vertical="center" wrapText="1"/>
    </xf>
    <xf numFmtId="164" fontId="0" fillId="0" borderId="0" xfId="0" quotePrefix="1" applyAlignment="1">
      <alignment vertical="center" wrapText="1"/>
    </xf>
    <xf numFmtId="164" fontId="0" fillId="0" borderId="0" xfId="0" applyAlignment="1">
      <alignment vertical="center" wrapText="1"/>
    </xf>
    <xf numFmtId="164" fontId="5" fillId="0" borderId="2" xfId="0" applyFont="1" applyBorder="1" applyAlignment="1">
      <alignment horizontal="center" vertical="center" wrapText="1"/>
    </xf>
    <xf numFmtId="164" fontId="4" fillId="0" borderId="0" xfId="0" applyFont="1" applyBorder="1" applyAlignment="1">
      <alignment horizontal="left" vertical="center" wrapText="1"/>
    </xf>
    <xf numFmtId="0" fontId="10" fillId="0" borderId="0" xfId="4" applyFont="1" applyFill="1" applyBorder="1" applyAlignment="1">
      <alignment horizontal="left" wrapText="1"/>
    </xf>
    <xf numFmtId="0" fontId="10" fillId="0" borderId="16" xfId="4" applyFont="1" applyFill="1" applyBorder="1" applyAlignment="1">
      <alignment horizontal="left" wrapText="1"/>
    </xf>
    <xf numFmtId="0" fontId="12" fillId="0" borderId="30" xfId="10" applyFont="1" applyBorder="1" applyAlignment="1">
      <alignment horizontal="center"/>
    </xf>
    <xf numFmtId="0" fontId="12" fillId="0" borderId="29" xfId="10" applyFont="1" applyBorder="1" applyAlignment="1">
      <alignment horizontal="center"/>
    </xf>
    <xf numFmtId="0" fontId="10" fillId="0" borderId="0" xfId="10" applyAlignment="1">
      <alignment horizontal="left" wrapText="1"/>
    </xf>
    <xf numFmtId="0" fontId="12" fillId="0" borderId="0" xfId="10" applyFont="1" applyAlignment="1">
      <alignment horizontal="center"/>
    </xf>
    <xf numFmtId="0" fontId="12" fillId="0" borderId="58" xfId="10" applyFont="1" applyBorder="1" applyAlignment="1">
      <alignment horizontal="center" wrapText="1"/>
    </xf>
    <xf numFmtId="0" fontId="12" fillId="0" borderId="2" xfId="10" applyFont="1" applyBorder="1" applyAlignment="1">
      <alignment horizontal="center" wrapText="1"/>
    </xf>
  </cellXfs>
  <cellStyles count="16">
    <cellStyle name="Comma" xfId="1" builtinId="3"/>
    <cellStyle name="Comma 2" xfId="7"/>
    <cellStyle name="Currency" xfId="3" builtinId="4"/>
    <cellStyle name="Currency 2" xfId="6"/>
    <cellStyle name="Currency 3" xfId="8"/>
    <cellStyle name="Euro" xfId="9"/>
    <cellStyle name="Heading 2" xfId="2" builtinId="17"/>
    <cellStyle name="Normal" xfId="0" builtinId="0"/>
    <cellStyle name="Normal 2" xfId="4"/>
    <cellStyle name="Normal 3" xfId="10"/>
    <cellStyle name="Percent 2" xfId="5"/>
    <cellStyle name="Percent 3" xfId="11"/>
    <cellStyle name="PSChar" xfId="12"/>
    <cellStyle name="PSDate" xfId="13"/>
    <cellStyle name="PSDec" xfId="14"/>
    <cellStyle name="PSHeading" xfId="15"/>
  </cellStyles>
  <dxfs count="5">
    <dxf>
      <font>
        <b/>
        <i val="0"/>
        <condense val="0"/>
        <extend val="0"/>
        <color indexed="10"/>
      </font>
      <fill>
        <patternFill>
          <bgColor indexed="42"/>
        </patternFill>
      </fill>
    </dxf>
    <dxf>
      <font>
        <b/>
        <i val="0"/>
        <condense val="0"/>
        <extend val="0"/>
        <color indexed="10"/>
      </font>
      <fill>
        <patternFill>
          <bgColor indexed="42"/>
        </patternFill>
      </fill>
    </dxf>
    <dxf>
      <font>
        <b/>
        <i val="0"/>
        <condense val="0"/>
        <extend val="0"/>
        <color indexed="10"/>
      </font>
      <fill>
        <patternFill>
          <bgColor indexed="42"/>
        </patternFill>
      </fill>
    </dxf>
    <dxf>
      <font>
        <b/>
        <i val="0"/>
        <condense val="0"/>
        <extend val="0"/>
        <color indexed="10"/>
      </font>
      <fill>
        <patternFill>
          <bgColor indexed="42"/>
        </patternFill>
      </fill>
    </dxf>
    <dxf>
      <font>
        <b/>
        <i val="0"/>
        <condense val="0"/>
        <extend val="0"/>
        <color indexed="10"/>
      </font>
      <fill>
        <patternFill>
          <bgColor indexed="42"/>
        </patternFill>
      </fill>
    </dxf>
  </dxfs>
  <tableStyles count="0" defaultTableStyle="TableStyleMedium9" defaultPivotStyle="PivotStyleLight16"/>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externalLink" Target="externalLinks/externalLink4.xml" />
  <Relationship Id="rId2" Type="http://schemas.openxmlformats.org/officeDocument/2006/relationships/worksheet" Target="worksheets/sheet2.xml" />
  <Relationship Id="rId16" Type="http://schemas.openxmlformats.org/officeDocument/2006/relationships/calcChain" Target="calcChain.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externalLink" Target="externalLinks/externalLink3.xml" />
  <Relationship Id="rId5" Type="http://schemas.openxmlformats.org/officeDocument/2006/relationships/worksheet" Target="worksheets/sheet5.xml" />
  <Relationship Id="rId15" Type="http://schemas.openxmlformats.org/officeDocument/2006/relationships/sharedStrings" Target="sharedStrings.xml" />
  <Relationship Id="rId10" Type="http://schemas.openxmlformats.org/officeDocument/2006/relationships/externalLink" Target="externalLinks/externalLink2.xml" />
  <Relationship Id="rId4" Type="http://schemas.openxmlformats.org/officeDocument/2006/relationships/worksheet" Target="worksheets/sheet4.xml" />
  <Relationship Id="rId9" Type="http://schemas.openxmlformats.org/officeDocument/2006/relationships/externalLink" Target="externalLinks/externalLink1.xml" />
  <Relationship Id="rId14" Type="http://schemas.openxmlformats.org/officeDocument/2006/relationships/styles" Target="styles.xml" />
</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te.mantech.com/Price2/Submitted%20Proposals/56321%20-%20Landstuhl/Pricing%20Scenes/Pricing%20Scene%201/Price%20Mode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ice2/Current%20Proposals/P-12346%20-%20JALLC%20Recompete/Pricing%20Scenes/Pricing%20Scene%201/Cost%20Model%20JALLC.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ice2/Current%20Proposals/P-12246%20-%20JCCC/Pricing%20Scenes/Pricing%20Scene%201/Cost%20Model%20JCCC_v3%20(no%20Brigg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unite.mantech.com/Price2/Submitted%20Proposals/56295%20-%20SPAWAR%20C4ISR/Pricing%20Scenes/Pricing%206/MADG%20-%20Prime/Price%20Model%20-%20MADG%20(Final).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putSheet"/>
      <sheetName val="Summary"/>
      <sheetName val="Phase-In"/>
      <sheetName val="Base Period"/>
      <sheetName val="Option 1"/>
      <sheetName val="Option 2"/>
      <sheetName val="Option 3"/>
      <sheetName val="Option 4"/>
      <sheetName val="Total All Yrs"/>
      <sheetName val="Site Diff"/>
      <sheetName val="ReloBreakdown"/>
      <sheetName val="ReloDetail"/>
      <sheetName val="Schooling"/>
      <sheetName val="Bonus"/>
      <sheetName val="Office Equip"/>
      <sheetName val="OT Rate Summary"/>
      <sheetName val="Phase-In RateBuildUp"/>
      <sheetName val="Base RateBuildUp"/>
      <sheetName val="Opt 1 RateBuildUp"/>
      <sheetName val="Opt 2 RateBuildUp"/>
      <sheetName val="Opt 3 RateBuildUp"/>
      <sheetName val="Opt 4 RateBuildUp"/>
      <sheetName val="Indirects"/>
      <sheetName val="Indirects (IS)"/>
      <sheetName val="Ratebook"/>
    </sheetNames>
    <sheetDataSet>
      <sheetData sheetId="0" refreshError="1">
        <row r="11">
          <cell r="B11" t="str">
            <v>Phase-In</v>
          </cell>
          <cell r="C11">
            <v>38139</v>
          </cell>
          <cell r="D11">
            <v>38168</v>
          </cell>
        </row>
        <row r="12">
          <cell r="B12" t="str">
            <v>Base Period</v>
          </cell>
          <cell r="C12">
            <v>38169</v>
          </cell>
          <cell r="D12">
            <v>38411</v>
          </cell>
        </row>
        <row r="13">
          <cell r="B13" t="str">
            <v>Option 1</v>
          </cell>
          <cell r="C13">
            <v>38412</v>
          </cell>
          <cell r="D13">
            <v>38776</v>
          </cell>
        </row>
        <row r="14">
          <cell r="B14" t="str">
            <v>Option 2</v>
          </cell>
          <cell r="C14">
            <v>38777</v>
          </cell>
          <cell r="D14">
            <v>39141</v>
          </cell>
        </row>
        <row r="15">
          <cell r="B15" t="str">
            <v>Option 3</v>
          </cell>
          <cell r="C15">
            <v>39142</v>
          </cell>
          <cell r="D15">
            <v>39507</v>
          </cell>
        </row>
        <row r="16">
          <cell r="B16" t="str">
            <v>Option 4</v>
          </cell>
          <cell r="C16">
            <v>39508</v>
          </cell>
          <cell r="D16">
            <v>39872</v>
          </cell>
        </row>
        <row r="21">
          <cell r="C21">
            <v>2004</v>
          </cell>
          <cell r="D21">
            <v>2005</v>
          </cell>
          <cell r="E21">
            <v>2006</v>
          </cell>
          <cell r="F21">
            <v>2007</v>
          </cell>
          <cell r="G21">
            <v>2008</v>
          </cell>
          <cell r="H21">
            <v>2009</v>
          </cell>
          <cell r="I21">
            <v>2010</v>
          </cell>
          <cell r="J21">
            <v>2011</v>
          </cell>
          <cell r="K21">
            <v>2011</v>
          </cell>
        </row>
        <row r="23">
          <cell r="B23" t="str">
            <v>Payroll Burden</v>
          </cell>
        </row>
        <row r="24">
          <cell r="B24" t="str">
            <v>Overhead - Offsite</v>
          </cell>
        </row>
        <row r="25">
          <cell r="B25" t="str">
            <v>Overhead - Onsite</v>
          </cell>
        </row>
        <row r="26">
          <cell r="B26" t="str">
            <v>Material Handling</v>
          </cell>
        </row>
        <row r="27">
          <cell r="B27" t="str">
            <v>G&amp;A</v>
          </cell>
        </row>
        <row r="28">
          <cell r="B28" t="str">
            <v>FCCOM - Off OH</v>
          </cell>
        </row>
        <row r="29">
          <cell r="B29" t="str">
            <v>FCCOM - On OH</v>
          </cell>
        </row>
        <row r="30">
          <cell r="B30" t="str">
            <v>FCCOM - G&amp;A</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sheetData sheetId="23"/>
      <sheetData sheetId="24"/>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putSheet"/>
      <sheetName val="Esc Code"/>
      <sheetName val="Indirect Lookup"/>
      <sheetName val="BY"/>
      <sheetName val="CPFF"/>
      <sheetName val="WBS1"/>
      <sheetName val="WBS Staffing1"/>
      <sheetName val="WBS Task Descriptions"/>
      <sheetName val="GSA - Price Analysis"/>
      <sheetName val="GSA - Submittal"/>
      <sheetName val="OY1"/>
      <sheetName val="OY2"/>
      <sheetName val="OY3"/>
      <sheetName val="OY4"/>
      <sheetName val="Pricing Summary"/>
      <sheetName val="Sub Rates"/>
      <sheetName val="Price Analysis &quot;Sub-1&quot;"/>
      <sheetName val="Indirects"/>
      <sheetName val="Sheet1"/>
      <sheetName val="Pricing Summary (2)"/>
    </sheetNames>
    <sheetDataSet>
      <sheetData sheetId="0">
        <row r="173">
          <cell r="B173">
            <v>1</v>
          </cell>
          <cell r="C173" t="str">
            <v>0001 - Sr. Analyst 1</v>
          </cell>
          <cell r="E173" t="str">
            <v>ManTech</v>
          </cell>
          <cell r="F173" t="str">
            <v>Ross,David L</v>
          </cell>
          <cell r="G173">
            <v>37.716414999999998</v>
          </cell>
        </row>
        <row r="174">
          <cell r="B174">
            <v>2</v>
          </cell>
          <cell r="C174" t="str">
            <v>0002 - Sr. Analyst 2</v>
          </cell>
          <cell r="E174" t="str">
            <v>ManTech</v>
          </cell>
          <cell r="F174" t="str">
            <v>Sosa,Arthur J</v>
          </cell>
          <cell r="G174">
            <v>37.716414999999998</v>
          </cell>
        </row>
        <row r="175">
          <cell r="B175">
            <v>3</v>
          </cell>
          <cell r="C175" t="str">
            <v>0003 - Sr. Analyst 3</v>
          </cell>
          <cell r="E175" t="str">
            <v>ManTech</v>
          </cell>
          <cell r="F175" t="str">
            <v>Thordsen,Marvin L</v>
          </cell>
          <cell r="G175">
            <v>34.287649999999999</v>
          </cell>
        </row>
        <row r="176">
          <cell r="B176">
            <v>4</v>
          </cell>
          <cell r="C176" t="str">
            <v>0004 Sr Analyst 4</v>
          </cell>
          <cell r="E176" t="str">
            <v>KFM Technologies</v>
          </cell>
          <cell r="F176" t="str">
            <v>Andrew Eden</v>
          </cell>
        </row>
        <row r="177">
          <cell r="B177">
            <v>5</v>
          </cell>
          <cell r="C177" t="str">
            <v>0005 - Sr. Analyst 5</v>
          </cell>
          <cell r="E177" t="str">
            <v>KFM Technologies</v>
          </cell>
          <cell r="F177" t="str">
            <v>Robbie Meehan</v>
          </cell>
        </row>
        <row r="178">
          <cell r="B178">
            <v>6</v>
          </cell>
          <cell r="C178" t="str">
            <v>0006 Sr. Analyst 6</v>
          </cell>
          <cell r="E178" t="str">
            <v>Consultant</v>
          </cell>
          <cell r="F178" t="str">
            <v>Staale Hansen</v>
          </cell>
        </row>
        <row r="179">
          <cell r="B179">
            <v>7</v>
          </cell>
          <cell r="C179" t="str">
            <v>0007 - Sr. Analyst 7</v>
          </cell>
          <cell r="E179" t="str">
            <v>Consultant</v>
          </cell>
          <cell r="F179" t="str">
            <v>Nigel Branston</v>
          </cell>
        </row>
      </sheetData>
      <sheetData sheetId="1" refreshError="1"/>
      <sheetData sheetId="2">
        <row r="2">
          <cell r="C2" t="str">
            <v>ESD</v>
          </cell>
          <cell r="D2" t="str">
            <v>ESD 2</v>
          </cell>
          <cell r="E2" t="str">
            <v>MTSC NT</v>
          </cell>
          <cell r="F2" t="str">
            <v>MTSC ET</v>
          </cell>
          <cell r="G2" t="str">
            <v>SYMM</v>
          </cell>
          <cell r="H2" t="str">
            <v>SERV</v>
          </cell>
          <cell r="I2" t="str">
            <v>Tech System OFF</v>
          </cell>
          <cell r="J2" t="str">
            <v>Tech</v>
          </cell>
          <cell r="K2" t="str">
            <v>MRSL</v>
          </cell>
          <cell r="L2" t="str">
            <v>IS</v>
          </cell>
          <cell r="M2" t="str">
            <v>INTL</v>
          </cell>
          <cell r="N2" t="str">
            <v>SSD</v>
          </cell>
          <cell r="O2" t="str">
            <v>IST</v>
          </cell>
          <cell r="P2" t="str">
            <v>MISSION SUPPT Tier I</v>
          </cell>
          <cell r="Q2" t="str">
            <v>MISSION SUPPT Tier II</v>
          </cell>
          <cell r="R2" t="str">
            <v>e-IC</v>
          </cell>
          <cell r="S2" t="str">
            <v>e-IC MGS</v>
          </cell>
          <cell r="T2" t="str">
            <v>SMA MAIN</v>
          </cell>
          <cell r="U2" t="str">
            <v>SMA MAIN PT</v>
          </cell>
          <cell r="V2" t="str">
            <v>SMA MAIN Special</v>
          </cell>
          <cell r="W2" t="str">
            <v>CFIAG</v>
          </cell>
          <cell r="X2" t="str">
            <v>MASI Special</v>
          </cell>
          <cell r="Y2" t="str">
            <v>MASI</v>
          </cell>
          <cell r="Z2" t="str">
            <v>MASI P/T</v>
          </cell>
          <cell r="AA2" t="str">
            <v>CFIAG P/T</v>
          </cell>
          <cell r="AB2" t="str">
            <v>Remote</v>
          </cell>
          <cell r="AC2" t="str">
            <v>COMM</v>
          </cell>
          <cell r="AD2" t="str">
            <v>ADV PRGMS</v>
          </cell>
          <cell r="AE2" t="str">
            <v>NEW</v>
          </cell>
        </row>
        <row r="3">
          <cell r="B3">
            <v>2009</v>
          </cell>
        </row>
        <row r="4">
          <cell r="A4" t="str">
            <v>2009PRB</v>
          </cell>
          <cell r="B4" t="str">
            <v>PRB</v>
          </cell>
          <cell r="C4">
            <v>0.35099999999999998</v>
          </cell>
          <cell r="D4">
            <v>0.35099999999999998</v>
          </cell>
          <cell r="E4">
            <v>0.35099999999999998</v>
          </cell>
          <cell r="F4">
            <v>0.35099999999999998</v>
          </cell>
          <cell r="G4">
            <v>0.45</v>
          </cell>
          <cell r="H4">
            <v>0.38</v>
          </cell>
          <cell r="I4">
            <v>0.44</v>
          </cell>
          <cell r="J4">
            <v>0.44</v>
          </cell>
          <cell r="K4">
            <v>0.45</v>
          </cell>
          <cell r="L4">
            <v>0.31240000000000001</v>
          </cell>
          <cell r="M4">
            <v>0.42159999999999997</v>
          </cell>
          <cell r="N4">
            <v>0.47249999999999998</v>
          </cell>
          <cell r="O4">
            <v>0.44</v>
          </cell>
          <cell r="P4">
            <v>0.44</v>
          </cell>
          <cell r="Q4">
            <v>0.35499999999999998</v>
          </cell>
          <cell r="R4">
            <v>0.44</v>
          </cell>
          <cell r="S4">
            <v>0.51219999999999999</v>
          </cell>
          <cell r="T4">
            <v>0.38750000000000001</v>
          </cell>
          <cell r="U4">
            <v>0.25</v>
          </cell>
          <cell r="V4">
            <v>0.34429999999999999</v>
          </cell>
          <cell r="W4">
            <v>0.34429999999999999</v>
          </cell>
          <cell r="X4">
            <v>0.34429999999999999</v>
          </cell>
          <cell r="Y4">
            <v>0.38750000000000001</v>
          </cell>
          <cell r="Z4">
            <v>0.25</v>
          </cell>
          <cell r="AA4">
            <v>0.25</v>
          </cell>
          <cell r="AB4">
            <v>0.32</v>
          </cell>
          <cell r="AC4">
            <v>0.34429999999999999</v>
          </cell>
          <cell r="AD4">
            <v>0.37409999999999999</v>
          </cell>
          <cell r="AE4">
            <v>0</v>
          </cell>
        </row>
        <row r="5">
          <cell r="A5" t="str">
            <v>2009Overhead - Offsite</v>
          </cell>
          <cell r="B5" t="str">
            <v>Overhead - Offsite</v>
          </cell>
          <cell r="C5">
            <v>0.17249999999999999</v>
          </cell>
          <cell r="D5">
            <v>6.5000000000000002E-2</v>
          </cell>
          <cell r="E5">
            <v>0.19500000000000001</v>
          </cell>
          <cell r="F5">
            <v>0.26500000000000001</v>
          </cell>
          <cell r="G5">
            <v>0.23</v>
          </cell>
          <cell r="H5">
            <v>0.11650000000000001</v>
          </cell>
          <cell r="I5">
            <v>0.22090000000000001</v>
          </cell>
          <cell r="J5">
            <v>0.3584</v>
          </cell>
          <cell r="K5">
            <v>0.38800000000000001</v>
          </cell>
          <cell r="L5">
            <v>0.1988</v>
          </cell>
          <cell r="M5">
            <v>0.1401</v>
          </cell>
          <cell r="N5">
            <v>0.32300000000000001</v>
          </cell>
          <cell r="O5">
            <v>0.16</v>
          </cell>
          <cell r="P5">
            <v>0.23</v>
          </cell>
          <cell r="Q5">
            <v>0.23</v>
          </cell>
          <cell r="R5">
            <v>0.22220000000000001</v>
          </cell>
          <cell r="S5" t="str">
            <v>n/a</v>
          </cell>
          <cell r="T5">
            <v>0.495</v>
          </cell>
          <cell r="U5">
            <v>0.495</v>
          </cell>
          <cell r="V5">
            <v>0.495</v>
          </cell>
          <cell r="W5">
            <v>0.495</v>
          </cell>
          <cell r="X5">
            <v>0.495</v>
          </cell>
          <cell r="Y5">
            <v>0.495</v>
          </cell>
          <cell r="Z5">
            <v>0.495</v>
          </cell>
          <cell r="AA5">
            <v>0.495</v>
          </cell>
          <cell r="AB5" t="str">
            <v>n/a</v>
          </cell>
          <cell r="AC5">
            <v>0.495</v>
          </cell>
          <cell r="AD5">
            <v>0.3</v>
          </cell>
          <cell r="AE5">
            <v>0</v>
          </cell>
        </row>
        <row r="6">
          <cell r="A6" t="str">
            <v>2009Overhead - Onsite</v>
          </cell>
          <cell r="B6" t="str">
            <v>Overhead - Onsite</v>
          </cell>
          <cell r="C6">
            <v>3.1E-2</v>
          </cell>
          <cell r="D6">
            <v>3.1E-2</v>
          </cell>
          <cell r="E6">
            <v>2.5499999999999998E-2</v>
          </cell>
          <cell r="F6">
            <v>2.5499999999999998E-2</v>
          </cell>
          <cell r="G6">
            <v>0.06</v>
          </cell>
          <cell r="H6">
            <v>1.7899999999999999E-2</v>
          </cell>
          <cell r="I6" t="str">
            <v>n/a</v>
          </cell>
          <cell r="J6">
            <v>6.1400000000000003E-2</v>
          </cell>
          <cell r="K6" t="str">
            <v>n/a</v>
          </cell>
          <cell r="L6">
            <v>2.23E-2</v>
          </cell>
          <cell r="M6" t="str">
            <v>n/a</v>
          </cell>
          <cell r="N6">
            <v>8.3699999999999997E-2</v>
          </cell>
          <cell r="O6">
            <v>0.16</v>
          </cell>
          <cell r="P6">
            <v>0.06</v>
          </cell>
          <cell r="Q6">
            <v>0.06</v>
          </cell>
          <cell r="R6">
            <v>2.6200000000000001E-2</v>
          </cell>
          <cell r="S6">
            <v>0.17499999999999999</v>
          </cell>
          <cell r="T6">
            <v>8.5000000000000006E-2</v>
          </cell>
          <cell r="U6">
            <v>8.5000000000000006E-2</v>
          </cell>
          <cell r="V6">
            <v>8.5000000000000006E-2</v>
          </cell>
          <cell r="W6">
            <v>0.1825</v>
          </cell>
          <cell r="X6">
            <v>6.5000000000000002E-2</v>
          </cell>
          <cell r="Y6">
            <v>6.5000000000000002E-2</v>
          </cell>
          <cell r="Z6">
            <v>6.5000000000000002E-2</v>
          </cell>
          <cell r="AA6">
            <v>0.1825</v>
          </cell>
          <cell r="AB6">
            <v>6.5000000000000002E-2</v>
          </cell>
          <cell r="AC6" t="str">
            <v>n/a</v>
          </cell>
          <cell r="AD6">
            <v>6.5000000000000002E-2</v>
          </cell>
          <cell r="AE6">
            <v>0</v>
          </cell>
        </row>
        <row r="7">
          <cell r="A7" t="str">
            <v>2009Material Handling</v>
          </cell>
          <cell r="B7" t="str">
            <v>Material Handling</v>
          </cell>
          <cell r="C7">
            <v>3.1E-2</v>
          </cell>
          <cell r="D7">
            <v>3.1E-2</v>
          </cell>
          <cell r="E7">
            <v>3.1E-2</v>
          </cell>
          <cell r="F7">
            <v>3.1E-2</v>
          </cell>
          <cell r="G7">
            <v>0.14000000000000001</v>
          </cell>
          <cell r="H7">
            <v>2.5000000000000001E-2</v>
          </cell>
          <cell r="I7">
            <v>4.3499999999999997E-2</v>
          </cell>
          <cell r="J7">
            <v>4.3499999999999997E-2</v>
          </cell>
          <cell r="K7">
            <v>2.5000000000000001E-2</v>
          </cell>
          <cell r="L7">
            <v>3.1699999999999999E-2</v>
          </cell>
          <cell r="M7">
            <v>3.1699999999999999E-2</v>
          </cell>
          <cell r="N7">
            <v>4.9700000000000001E-2</v>
          </cell>
          <cell r="O7">
            <v>0</v>
          </cell>
          <cell r="P7">
            <v>3.6999999999999998E-2</v>
          </cell>
          <cell r="Q7">
            <v>3.6999999999999998E-2</v>
          </cell>
          <cell r="R7">
            <v>5.7599999999999998E-2</v>
          </cell>
          <cell r="S7">
            <v>5.7599999999999998E-2</v>
          </cell>
          <cell r="T7">
            <v>4.2999999999999997E-2</v>
          </cell>
          <cell r="U7">
            <v>4.2999999999999997E-2</v>
          </cell>
          <cell r="V7">
            <v>4.2999999999999997E-2</v>
          </cell>
          <cell r="W7">
            <v>4.2999999999999997E-2</v>
          </cell>
          <cell r="X7">
            <v>4.2999999999999997E-2</v>
          </cell>
          <cell r="Y7">
            <v>4.2999999999999997E-2</v>
          </cell>
          <cell r="Z7">
            <v>4.2999999999999997E-2</v>
          </cell>
          <cell r="AA7">
            <v>4.2999999999999997E-2</v>
          </cell>
          <cell r="AB7">
            <v>4.2999999999999997E-2</v>
          </cell>
          <cell r="AC7">
            <v>4.2999999999999997E-2</v>
          </cell>
          <cell r="AD7">
            <v>0.04</v>
          </cell>
          <cell r="AE7">
            <v>0</v>
          </cell>
        </row>
        <row r="8">
          <cell r="A8" t="str">
            <v>2009G&amp;A</v>
          </cell>
          <cell r="B8" t="str">
            <v>G&amp;A</v>
          </cell>
          <cell r="C8">
            <v>9.5699999999999993E-2</v>
          </cell>
          <cell r="D8">
            <v>9.5699999999999993E-2</v>
          </cell>
          <cell r="E8">
            <v>0.125</v>
          </cell>
          <cell r="F8">
            <v>0.125</v>
          </cell>
          <cell r="G8">
            <v>0.14000000000000001</v>
          </cell>
          <cell r="H8">
            <v>9.7799999999999998E-2</v>
          </cell>
          <cell r="I8">
            <v>0.15379999999999999</v>
          </cell>
          <cell r="J8">
            <v>0.15379999999999999</v>
          </cell>
          <cell r="K8">
            <v>0.19500000000000001</v>
          </cell>
          <cell r="L8">
            <v>9.7500000000000003E-2</v>
          </cell>
          <cell r="M8">
            <v>9.7500000000000003E-2</v>
          </cell>
          <cell r="N8">
            <v>0.16</v>
          </cell>
          <cell r="O8">
            <v>0.14000000000000001</v>
          </cell>
          <cell r="P8">
            <v>0.15</v>
          </cell>
          <cell r="Q8">
            <v>0.15</v>
          </cell>
          <cell r="R8">
            <v>0.1595</v>
          </cell>
          <cell r="S8">
            <v>0.1595</v>
          </cell>
          <cell r="T8">
            <v>0.13750000000000001</v>
          </cell>
          <cell r="U8">
            <v>0.13750000000000001</v>
          </cell>
          <cell r="V8">
            <v>0.13750000000000001</v>
          </cell>
          <cell r="W8">
            <v>0.13750000000000001</v>
          </cell>
          <cell r="X8">
            <v>0.13750000000000001</v>
          </cell>
          <cell r="Y8">
            <v>0.13750000000000001</v>
          </cell>
          <cell r="Z8">
            <v>0.13750000000000001</v>
          </cell>
          <cell r="AA8">
            <v>0.13750000000000001</v>
          </cell>
          <cell r="AB8">
            <v>0.13750000000000001</v>
          </cell>
          <cell r="AC8">
            <v>0.17499999999999999</v>
          </cell>
          <cell r="AD8">
            <v>0.14149999999999999</v>
          </cell>
          <cell r="AE8">
            <v>0</v>
          </cell>
        </row>
        <row r="9">
          <cell r="B9" t="str">
            <v>Wrap - On</v>
          </cell>
          <cell r="C9">
            <v>1.5261797116999996</v>
          </cell>
          <cell r="D9">
            <v>1.5261797116999996</v>
          </cell>
          <cell r="E9">
            <v>1.5586318125000003</v>
          </cell>
          <cell r="F9">
            <v>1.5586318125000003</v>
          </cell>
          <cell r="G9">
            <v>1.7521800000000001</v>
          </cell>
          <cell r="H9">
            <v>1.5420818555999998</v>
          </cell>
          <cell r="I9" t="str">
            <v>n/a</v>
          </cell>
          <cell r="J9">
            <v>1.7634863807999996</v>
          </cell>
          <cell r="K9" t="str">
            <v>n/a</v>
          </cell>
          <cell r="L9">
            <v>1.4724790056999999</v>
          </cell>
          <cell r="M9" t="str">
            <v>n/a</v>
          </cell>
          <cell r="N9">
            <v>1.8510679699999997</v>
          </cell>
          <cell r="O9">
            <v>1.9042560000000002</v>
          </cell>
          <cell r="P9">
            <v>1.7553599999999998</v>
          </cell>
          <cell r="Q9">
            <v>1.651745</v>
          </cell>
          <cell r="R9">
            <v>1.7134256159999999</v>
          </cell>
          <cell r="S9">
            <v>2.0602401825000003</v>
          </cell>
          <cell r="T9">
            <v>1.71243515625</v>
          </cell>
          <cell r="U9">
            <v>1.542734375</v>
          </cell>
          <cell r="V9">
            <v>1.65911825625</v>
          </cell>
          <cell r="W9">
            <v>1.8082095281250001</v>
          </cell>
          <cell r="X9">
            <v>1.62853543125</v>
          </cell>
          <cell r="Y9">
            <v>1.6808695312499997</v>
          </cell>
          <cell r="Z9">
            <v>1.5142968749999997</v>
          </cell>
          <cell r="AA9">
            <v>1.6813671875</v>
          </cell>
          <cell r="AB9">
            <v>1.5990974999999998</v>
          </cell>
          <cell r="AC9" t="str">
            <v>n/a</v>
          </cell>
          <cell r="AD9">
            <v>1.6704899347499997</v>
          </cell>
          <cell r="AE9">
            <v>1</v>
          </cell>
        </row>
        <row r="10">
          <cell r="B10" t="str">
            <v>Wrap - Off</v>
          </cell>
          <cell r="C10">
            <v>1.7356408457499997</v>
          </cell>
          <cell r="D10">
            <v>1.5765095954999997</v>
          </cell>
          <cell r="E10">
            <v>1.8162506250000001</v>
          </cell>
          <cell r="F10">
            <v>1.9226418750000003</v>
          </cell>
          <cell r="G10">
            <v>2.0331900000000003</v>
          </cell>
          <cell r="H10">
            <v>1.6914573059999998</v>
          </cell>
          <cell r="I10">
            <v>2.0284911648000001</v>
          </cell>
          <cell r="J10">
            <v>2.2569435647999998</v>
          </cell>
          <cell r="K10">
            <v>2.4050570000000002</v>
          </cell>
          <cell r="L10">
            <v>1.7267023692000001</v>
          </cell>
          <cell r="M10">
            <v>1.7787908605999998</v>
          </cell>
          <cell r="N10">
            <v>2.2598162999999993</v>
          </cell>
          <cell r="O10">
            <v>1.9042560000000002</v>
          </cell>
          <cell r="P10">
            <v>2.0368799999999996</v>
          </cell>
          <cell r="Q10">
            <v>1.9166474999999998</v>
          </cell>
          <cell r="R10">
            <v>2.0406828959999999</v>
          </cell>
          <cell r="S10" t="str">
            <v>n/a</v>
          </cell>
          <cell r="T10">
            <v>2.3595304687500001</v>
          </cell>
          <cell r="U10">
            <v>2.1257031250000002</v>
          </cell>
          <cell r="V10">
            <v>2.2860661687500001</v>
          </cell>
          <cell r="W10">
            <v>2.2860661687500001</v>
          </cell>
          <cell r="X10">
            <v>2.2860661687500001</v>
          </cell>
          <cell r="Y10">
            <v>2.3595304687500001</v>
          </cell>
          <cell r="Z10">
            <v>2.1257031250000002</v>
          </cell>
          <cell r="AA10">
            <v>2.1257031250000002</v>
          </cell>
          <cell r="AB10" t="str">
            <v>n/a</v>
          </cell>
          <cell r="AC10">
            <v>2.3614309874999999</v>
          </cell>
          <cell r="AD10">
            <v>2.0390956949999999</v>
          </cell>
          <cell r="AE10">
            <v>1</v>
          </cell>
        </row>
        <row r="11">
          <cell r="B11">
            <v>2010</v>
          </cell>
        </row>
        <row r="12">
          <cell r="A12" t="str">
            <v>2010PRB</v>
          </cell>
          <cell r="B12" t="str">
            <v>PRB</v>
          </cell>
          <cell r="C12">
            <v>0.35099999999999998</v>
          </cell>
          <cell r="D12">
            <v>0.35099999999999998</v>
          </cell>
          <cell r="E12">
            <v>0.35099999999999998</v>
          </cell>
          <cell r="F12">
            <v>0.35099999999999998</v>
          </cell>
          <cell r="G12">
            <v>0.45</v>
          </cell>
          <cell r="H12">
            <v>0.38</v>
          </cell>
          <cell r="I12">
            <v>0.44</v>
          </cell>
          <cell r="J12">
            <v>0.44</v>
          </cell>
          <cell r="K12">
            <v>0.45</v>
          </cell>
          <cell r="L12">
            <v>0.31240000000000001</v>
          </cell>
          <cell r="M12">
            <v>0.42159999999999997</v>
          </cell>
          <cell r="N12">
            <v>0.47249999999999998</v>
          </cell>
          <cell r="O12">
            <v>0.43</v>
          </cell>
          <cell r="P12">
            <v>0.43</v>
          </cell>
          <cell r="Q12">
            <v>0.35499999999999998</v>
          </cell>
          <cell r="R12">
            <v>0.43</v>
          </cell>
          <cell r="S12">
            <v>0.51219999999999999</v>
          </cell>
          <cell r="T12">
            <v>0.38750000000000001</v>
          </cell>
          <cell r="U12">
            <v>0.25</v>
          </cell>
          <cell r="V12">
            <v>0.34429999999999999</v>
          </cell>
          <cell r="W12">
            <v>0.34429999999999999</v>
          </cell>
          <cell r="X12">
            <v>0.34429999999999999</v>
          </cell>
          <cell r="Y12">
            <v>0.38750000000000001</v>
          </cell>
          <cell r="Z12">
            <v>0.25</v>
          </cell>
          <cell r="AA12">
            <v>0.25</v>
          </cell>
          <cell r="AB12">
            <v>0.32</v>
          </cell>
          <cell r="AC12">
            <v>0.34429999999999999</v>
          </cell>
          <cell r="AD12">
            <v>0.37409999999999999</v>
          </cell>
          <cell r="AE12">
            <v>0</v>
          </cell>
        </row>
        <row r="13">
          <cell r="A13" t="str">
            <v>2010Overhead - Offsite</v>
          </cell>
          <cell r="B13" t="str">
            <v>Overhead - Offsite</v>
          </cell>
          <cell r="C13">
            <v>0.17249999999999999</v>
          </cell>
          <cell r="D13">
            <v>6.5000000000000002E-2</v>
          </cell>
          <cell r="E13">
            <v>0.19500000000000001</v>
          </cell>
          <cell r="F13">
            <v>0.26500000000000001</v>
          </cell>
          <cell r="G13">
            <v>0.23</v>
          </cell>
          <cell r="H13">
            <v>0.11650000000000001</v>
          </cell>
          <cell r="I13">
            <v>0.22090000000000001</v>
          </cell>
          <cell r="J13">
            <v>0.3584</v>
          </cell>
          <cell r="K13">
            <v>0.38800000000000001</v>
          </cell>
          <cell r="L13">
            <v>0.1988</v>
          </cell>
          <cell r="M13">
            <v>0.1401</v>
          </cell>
          <cell r="N13">
            <v>0.32300000000000001</v>
          </cell>
          <cell r="O13">
            <v>0.15079999999999999</v>
          </cell>
          <cell r="P13">
            <v>0.21990000000000001</v>
          </cell>
          <cell r="Q13">
            <v>0.21990000000000001</v>
          </cell>
          <cell r="R13">
            <v>0.2132</v>
          </cell>
          <cell r="S13" t="str">
            <v>n/a</v>
          </cell>
          <cell r="T13">
            <v>0.495</v>
          </cell>
          <cell r="U13">
            <v>0.495</v>
          </cell>
          <cell r="V13">
            <v>0.495</v>
          </cell>
          <cell r="W13">
            <v>0.495</v>
          </cell>
          <cell r="X13">
            <v>0.495</v>
          </cell>
          <cell r="Y13">
            <v>0.495</v>
          </cell>
          <cell r="Z13">
            <v>0.495</v>
          </cell>
          <cell r="AA13">
            <v>0.495</v>
          </cell>
          <cell r="AB13" t="str">
            <v>n/a</v>
          </cell>
          <cell r="AC13">
            <v>0.495</v>
          </cell>
          <cell r="AD13">
            <v>0.3</v>
          </cell>
          <cell r="AE13">
            <v>0</v>
          </cell>
        </row>
        <row r="14">
          <cell r="A14" t="str">
            <v>2010Overhead - Onsite</v>
          </cell>
          <cell r="B14" t="str">
            <v>Overhead - Onsite</v>
          </cell>
          <cell r="C14">
            <v>3.1E-2</v>
          </cell>
          <cell r="D14">
            <v>3.1E-2</v>
          </cell>
          <cell r="E14">
            <v>2.5499999999999998E-2</v>
          </cell>
          <cell r="F14">
            <v>2.5499999999999998E-2</v>
          </cell>
          <cell r="G14">
            <v>0.06</v>
          </cell>
          <cell r="H14">
            <v>1.7899999999999999E-2</v>
          </cell>
          <cell r="I14" t="str">
            <v>n/a</v>
          </cell>
          <cell r="J14">
            <v>6.1400000000000003E-2</v>
          </cell>
          <cell r="K14" t="str">
            <v>n/a</v>
          </cell>
          <cell r="L14">
            <v>2.23E-2</v>
          </cell>
          <cell r="M14" t="str">
            <v>n/a</v>
          </cell>
          <cell r="N14">
            <v>8.3699999999999997E-2</v>
          </cell>
          <cell r="O14">
            <v>0.15079999999999999</v>
          </cell>
          <cell r="P14">
            <v>0.05</v>
          </cell>
          <cell r="Q14">
            <v>0.05</v>
          </cell>
          <cell r="R14">
            <v>1.6500000000000001E-2</v>
          </cell>
          <cell r="S14">
            <v>0.17499999999999999</v>
          </cell>
          <cell r="T14">
            <v>8.5000000000000006E-2</v>
          </cell>
          <cell r="U14">
            <v>8.5000000000000006E-2</v>
          </cell>
          <cell r="V14">
            <v>8.5000000000000006E-2</v>
          </cell>
          <cell r="W14">
            <v>0.1825</v>
          </cell>
          <cell r="X14">
            <v>6.5000000000000002E-2</v>
          </cell>
          <cell r="Y14">
            <v>6.5000000000000002E-2</v>
          </cell>
          <cell r="Z14">
            <v>6.5000000000000002E-2</v>
          </cell>
          <cell r="AA14">
            <v>0.1825</v>
          </cell>
          <cell r="AB14">
            <v>6.5000000000000002E-2</v>
          </cell>
          <cell r="AC14" t="str">
            <v>n/a</v>
          </cell>
          <cell r="AD14">
            <v>6.5000000000000002E-2</v>
          </cell>
          <cell r="AE14">
            <v>0</v>
          </cell>
        </row>
        <row r="15">
          <cell r="A15" t="str">
            <v>2010Material Handling</v>
          </cell>
          <cell r="B15" t="str">
            <v>Material Handling</v>
          </cell>
          <cell r="C15">
            <v>3.0300000000000001E-2</v>
          </cell>
          <cell r="D15">
            <v>3.0300000000000001E-2</v>
          </cell>
          <cell r="E15">
            <v>2.98E-2</v>
          </cell>
          <cell r="F15">
            <v>2.98E-2</v>
          </cell>
          <cell r="G15">
            <v>0.13739999999999999</v>
          </cell>
          <cell r="H15">
            <v>2.4299999999999999E-2</v>
          </cell>
          <cell r="I15">
            <v>4.2999999999999997E-2</v>
          </cell>
          <cell r="J15">
            <v>4.2999999999999997E-2</v>
          </cell>
          <cell r="K15">
            <v>2.3699999999999999E-2</v>
          </cell>
          <cell r="L15">
            <v>3.0700000000000002E-2</v>
          </cell>
          <cell r="M15">
            <v>3.0700000000000002E-2</v>
          </cell>
          <cell r="N15">
            <v>4.8500000000000001E-2</v>
          </cell>
          <cell r="O15">
            <v>0</v>
          </cell>
          <cell r="P15">
            <v>3.6200000000000003E-2</v>
          </cell>
          <cell r="Q15">
            <v>3.6200000000000003E-2</v>
          </cell>
          <cell r="R15">
            <v>5.6599999999999998E-2</v>
          </cell>
          <cell r="S15">
            <v>5.6599999999999998E-2</v>
          </cell>
          <cell r="T15">
            <v>4.1799999999999997E-2</v>
          </cell>
          <cell r="U15">
            <v>4.1799999999999997E-2</v>
          </cell>
          <cell r="V15">
            <v>4.1799999999999997E-2</v>
          </cell>
          <cell r="W15">
            <v>4.1799999999999997E-2</v>
          </cell>
          <cell r="X15">
            <v>4.1799999999999997E-2</v>
          </cell>
          <cell r="Y15">
            <v>4.1799999999999997E-2</v>
          </cell>
          <cell r="Z15">
            <v>4.1799999999999997E-2</v>
          </cell>
          <cell r="AA15">
            <v>4.1799999999999997E-2</v>
          </cell>
          <cell r="AB15">
            <v>4.1799999999999997E-2</v>
          </cell>
          <cell r="AC15">
            <v>4.1799999999999997E-2</v>
          </cell>
          <cell r="AD15">
            <v>3.8800000000000001E-2</v>
          </cell>
          <cell r="AE15">
            <v>0</v>
          </cell>
        </row>
        <row r="16">
          <cell r="A16" t="str">
            <v>2010G&amp;A</v>
          </cell>
          <cell r="B16" t="str">
            <v>G&amp;A</v>
          </cell>
          <cell r="C16">
            <v>9.3100000000000002E-2</v>
          </cell>
          <cell r="D16">
            <v>9.3100000000000002E-2</v>
          </cell>
          <cell r="E16">
            <v>0.12239999999999999</v>
          </cell>
          <cell r="F16">
            <v>0.12239999999999999</v>
          </cell>
          <cell r="G16">
            <v>0.13739999999999999</v>
          </cell>
          <cell r="H16">
            <v>9.4500000000000001E-2</v>
          </cell>
          <cell r="I16">
            <v>0.15110000000000001</v>
          </cell>
          <cell r="J16">
            <v>0.15110000000000001</v>
          </cell>
          <cell r="K16">
            <v>0.19209999999999999</v>
          </cell>
          <cell r="L16">
            <v>9.4700000000000006E-2</v>
          </cell>
          <cell r="M16">
            <v>9.4700000000000006E-2</v>
          </cell>
          <cell r="N16">
            <v>0.15590000000000001</v>
          </cell>
          <cell r="O16">
            <v>0.13819999999999999</v>
          </cell>
          <cell r="P16">
            <v>0.13300000000000001</v>
          </cell>
          <cell r="Q16">
            <v>0.13300000000000001</v>
          </cell>
          <cell r="R16">
            <v>0.16039999999999999</v>
          </cell>
          <cell r="S16">
            <v>0.16039999999999999</v>
          </cell>
          <cell r="T16">
            <v>0.13469999999999999</v>
          </cell>
          <cell r="U16">
            <v>0.13469999999999999</v>
          </cell>
          <cell r="V16">
            <v>0.13469999999999999</v>
          </cell>
          <cell r="W16">
            <v>0.13469999999999999</v>
          </cell>
          <cell r="X16">
            <v>0.13469999999999999</v>
          </cell>
          <cell r="Y16">
            <v>0.13469999999999999</v>
          </cell>
          <cell r="Z16">
            <v>0.13469999999999999</v>
          </cell>
          <cell r="AA16">
            <v>0.13469999999999999</v>
          </cell>
          <cell r="AB16">
            <v>0.13469999999999999</v>
          </cell>
          <cell r="AC16">
            <v>0.17219999999999999</v>
          </cell>
          <cell r="AD16">
            <v>0.13819999999999999</v>
          </cell>
          <cell r="AE16">
            <v>0</v>
          </cell>
        </row>
        <row r="17">
          <cell r="B17" t="str">
            <v>Wrap - On</v>
          </cell>
          <cell r="C17">
            <v>1.5225582210999997</v>
          </cell>
          <cell r="D17">
            <v>1.5225582210999997</v>
          </cell>
          <cell r="E17">
            <v>1.5550296412000002</v>
          </cell>
          <cell r="F17">
            <v>1.5550296412000002</v>
          </cell>
          <cell r="G17">
            <v>1.7481837999999998</v>
          </cell>
          <cell r="H17">
            <v>1.5374463389999999</v>
          </cell>
          <cell r="I17" t="str">
            <v>n/a</v>
          </cell>
          <cell r="J17">
            <v>1.7593596575999997</v>
          </cell>
          <cell r="K17" t="str">
            <v>n/a</v>
          </cell>
          <cell r="L17">
            <v>1.4687223394439999</v>
          </cell>
          <cell r="M17" t="str">
            <v>n/a</v>
          </cell>
          <cell r="N17">
            <v>1.8445254021749995</v>
          </cell>
          <cell r="O17">
            <v>1.8730720007999997</v>
          </cell>
          <cell r="P17">
            <v>1.7011995</v>
          </cell>
          <cell r="Q17">
            <v>1.61197575</v>
          </cell>
          <cell r="R17">
            <v>1.6867516380000001</v>
          </cell>
          <cell r="S17">
            <v>2.0618393340000005</v>
          </cell>
          <cell r="T17">
            <v>1.7082199312499999</v>
          </cell>
          <cell r="U17">
            <v>1.5389368750000001</v>
          </cell>
          <cell r="V17">
            <v>1.65503427285</v>
          </cell>
          <cell r="W17">
            <v>1.8037585508250003</v>
          </cell>
          <cell r="X17">
            <v>1.62452672865</v>
          </cell>
          <cell r="Y17">
            <v>1.67673200625</v>
          </cell>
          <cell r="Z17">
            <v>1.5105693749999998</v>
          </cell>
          <cell r="AA17">
            <v>1.6772284375000002</v>
          </cell>
          <cell r="AB17">
            <v>1.59516126</v>
          </cell>
          <cell r="AC17" t="str">
            <v>n/a</v>
          </cell>
          <cell r="AD17">
            <v>1.6656606602999997</v>
          </cell>
          <cell r="AE17">
            <v>1</v>
          </cell>
        </row>
        <row r="18">
          <cell r="B18" t="str">
            <v>Wrap - Off</v>
          </cell>
          <cell r="C18">
            <v>1.7315223222499998</v>
          </cell>
          <cell r="D18">
            <v>1.5727686765</v>
          </cell>
          <cell r="E18">
            <v>1.8120530680000002</v>
          </cell>
          <cell r="F18">
            <v>1.9181984360000004</v>
          </cell>
          <cell r="G18">
            <v>2.0285528999999998</v>
          </cell>
          <cell r="H18">
            <v>1.686372765</v>
          </cell>
          <cell r="I18">
            <v>2.0237443056000002</v>
          </cell>
          <cell r="J18">
            <v>2.2516621055999999</v>
          </cell>
          <cell r="K18">
            <v>2.39922046</v>
          </cell>
          <cell r="L18">
            <v>1.7222971148640001</v>
          </cell>
          <cell r="M18">
            <v>1.7742527153519998</v>
          </cell>
          <cell r="N18">
            <v>2.2518290182499996</v>
          </cell>
          <cell r="O18">
            <v>1.8730720007999997</v>
          </cell>
          <cell r="P18">
            <v>1.976469781</v>
          </cell>
          <cell r="Q18">
            <v>1.8728087785</v>
          </cell>
          <cell r="R18">
            <v>2.0131501104000002</v>
          </cell>
          <cell r="S18" t="str">
            <v>n/a</v>
          </cell>
          <cell r="T18">
            <v>2.35372239375</v>
          </cell>
          <cell r="U18">
            <v>2.1204706250000003</v>
          </cell>
          <cell r="V18">
            <v>2.2804389289500002</v>
          </cell>
          <cell r="W18">
            <v>2.2804389289500002</v>
          </cell>
          <cell r="X18">
            <v>2.2804389289500002</v>
          </cell>
          <cell r="Y18">
            <v>2.35372239375</v>
          </cell>
          <cell r="Z18">
            <v>2.1204706250000003</v>
          </cell>
          <cell r="AA18">
            <v>2.1204706250000003</v>
          </cell>
          <cell r="AB18" t="str">
            <v>n/a</v>
          </cell>
          <cell r="AC18">
            <v>2.3558037477</v>
          </cell>
          <cell r="AD18">
            <v>2.033200806</v>
          </cell>
          <cell r="AE18">
            <v>1</v>
          </cell>
        </row>
        <row r="19">
          <cell r="B19">
            <v>2011</v>
          </cell>
        </row>
        <row r="20">
          <cell r="A20" t="str">
            <v>2011PRB</v>
          </cell>
          <cell r="B20" t="str">
            <v>PRB</v>
          </cell>
          <cell r="C20">
            <v>0.35099999999999998</v>
          </cell>
          <cell r="D20">
            <v>0.35099999999999998</v>
          </cell>
          <cell r="E20">
            <v>0.35099999999999998</v>
          </cell>
          <cell r="F20">
            <v>0.35099999999999998</v>
          </cell>
          <cell r="G20">
            <v>0.45</v>
          </cell>
          <cell r="H20">
            <v>0.38</v>
          </cell>
          <cell r="I20">
            <v>0.44</v>
          </cell>
          <cell r="J20">
            <v>0.44</v>
          </cell>
          <cell r="K20">
            <v>0.45</v>
          </cell>
          <cell r="L20">
            <v>0.31240000000000001</v>
          </cell>
          <cell r="M20">
            <v>0.42159999999999997</v>
          </cell>
          <cell r="N20">
            <v>0.47249999999999998</v>
          </cell>
          <cell r="O20">
            <v>0.43</v>
          </cell>
          <cell r="P20">
            <v>0.43</v>
          </cell>
          <cell r="Q20">
            <v>0.35499999999999998</v>
          </cell>
          <cell r="R20">
            <v>0.43</v>
          </cell>
          <cell r="S20">
            <v>0.51219999999999999</v>
          </cell>
          <cell r="T20">
            <v>0.38750000000000001</v>
          </cell>
          <cell r="U20">
            <v>0.25</v>
          </cell>
          <cell r="V20">
            <v>0.34429999999999999</v>
          </cell>
          <cell r="W20">
            <v>0.34429999999999999</v>
          </cell>
          <cell r="X20">
            <v>0.34429999999999999</v>
          </cell>
          <cell r="Y20">
            <v>0.38750000000000001</v>
          </cell>
          <cell r="Z20">
            <v>0.25</v>
          </cell>
          <cell r="AA20">
            <v>0.25</v>
          </cell>
          <cell r="AB20">
            <v>0.32</v>
          </cell>
          <cell r="AC20">
            <v>0.34429999999999999</v>
          </cell>
          <cell r="AD20">
            <v>0.37409999999999999</v>
          </cell>
          <cell r="AE20">
            <v>0</v>
          </cell>
        </row>
        <row r="21">
          <cell r="A21" t="str">
            <v>2011Overhead - Offsite</v>
          </cell>
          <cell r="B21" t="str">
            <v>Overhead - Offsite</v>
          </cell>
          <cell r="C21">
            <v>0.17249999999999999</v>
          </cell>
          <cell r="D21">
            <v>6.5000000000000002E-2</v>
          </cell>
          <cell r="E21">
            <v>0.19500000000000001</v>
          </cell>
          <cell r="F21">
            <v>0.26500000000000001</v>
          </cell>
          <cell r="G21">
            <v>0.23</v>
          </cell>
          <cell r="H21">
            <v>0.11650000000000001</v>
          </cell>
          <cell r="I21">
            <v>0.22090000000000001</v>
          </cell>
          <cell r="J21">
            <v>0.3584</v>
          </cell>
          <cell r="K21">
            <v>0.38800000000000001</v>
          </cell>
          <cell r="L21">
            <v>0.1988</v>
          </cell>
          <cell r="M21">
            <v>0.1401</v>
          </cell>
          <cell r="N21">
            <v>0.32300000000000001</v>
          </cell>
          <cell r="O21">
            <v>0.15079999999999999</v>
          </cell>
          <cell r="P21">
            <v>0.21990000000000001</v>
          </cell>
          <cell r="Q21">
            <v>0.21990000000000001</v>
          </cell>
          <cell r="R21">
            <v>0.2132</v>
          </cell>
          <cell r="S21" t="str">
            <v>n/a</v>
          </cell>
          <cell r="T21">
            <v>0.495</v>
          </cell>
          <cell r="U21">
            <v>0.495</v>
          </cell>
          <cell r="V21">
            <v>0.495</v>
          </cell>
          <cell r="W21">
            <v>0.495</v>
          </cell>
          <cell r="X21">
            <v>0.495</v>
          </cell>
          <cell r="Y21">
            <v>0.495</v>
          </cell>
          <cell r="Z21">
            <v>0.495</v>
          </cell>
          <cell r="AA21">
            <v>0.495</v>
          </cell>
          <cell r="AB21" t="str">
            <v>n/a</v>
          </cell>
          <cell r="AC21">
            <v>0.495</v>
          </cell>
          <cell r="AD21">
            <v>0.3</v>
          </cell>
          <cell r="AE21">
            <v>0</v>
          </cell>
        </row>
        <row r="22">
          <cell r="A22" t="str">
            <v>2011Overhead - Onsite</v>
          </cell>
          <cell r="B22" t="str">
            <v>Overhead - Onsite</v>
          </cell>
          <cell r="C22">
            <v>3.1E-2</v>
          </cell>
          <cell r="D22">
            <v>3.1E-2</v>
          </cell>
          <cell r="E22">
            <v>2.5499999999999998E-2</v>
          </cell>
          <cell r="F22">
            <v>2.5499999999999998E-2</v>
          </cell>
          <cell r="G22">
            <v>0.06</v>
          </cell>
          <cell r="H22">
            <v>1.7899999999999999E-2</v>
          </cell>
          <cell r="I22" t="str">
            <v>n/a</v>
          </cell>
          <cell r="J22">
            <v>6.1400000000000003E-2</v>
          </cell>
          <cell r="K22" t="str">
            <v>n/a</v>
          </cell>
          <cell r="L22">
            <v>2.23E-2</v>
          </cell>
          <cell r="M22" t="str">
            <v>n/a</v>
          </cell>
          <cell r="N22">
            <v>8.3699999999999997E-2</v>
          </cell>
          <cell r="O22">
            <v>0.15079999999999999</v>
          </cell>
          <cell r="P22">
            <v>0.05</v>
          </cell>
          <cell r="Q22">
            <v>0.05</v>
          </cell>
          <cell r="R22">
            <v>1.6500000000000001E-2</v>
          </cell>
          <cell r="S22">
            <v>0.17499999999999999</v>
          </cell>
          <cell r="T22">
            <v>8.5000000000000006E-2</v>
          </cell>
          <cell r="U22">
            <v>8.5000000000000006E-2</v>
          </cell>
          <cell r="V22">
            <v>8.5000000000000006E-2</v>
          </cell>
          <cell r="W22">
            <v>0.1825</v>
          </cell>
          <cell r="X22">
            <v>6.5000000000000002E-2</v>
          </cell>
          <cell r="Y22">
            <v>6.5000000000000002E-2</v>
          </cell>
          <cell r="Z22">
            <v>6.5000000000000002E-2</v>
          </cell>
          <cell r="AA22">
            <v>0.1825</v>
          </cell>
          <cell r="AB22">
            <v>6.5000000000000002E-2</v>
          </cell>
          <cell r="AC22" t="str">
            <v>n/a</v>
          </cell>
          <cell r="AD22">
            <v>6.5000000000000002E-2</v>
          </cell>
          <cell r="AE22">
            <v>0</v>
          </cell>
        </row>
        <row r="23">
          <cell r="A23" t="str">
            <v>2011Material Handling</v>
          </cell>
          <cell r="B23" t="str">
            <v>Material Handling</v>
          </cell>
          <cell r="C23">
            <v>2.93E-2</v>
          </cell>
          <cell r="D23">
            <v>2.93E-2</v>
          </cell>
          <cell r="E23">
            <v>2.8899999999999999E-2</v>
          </cell>
          <cell r="F23">
            <v>2.8899999999999999E-2</v>
          </cell>
          <cell r="G23">
            <v>0.13489999999999999</v>
          </cell>
          <cell r="H23">
            <v>2.3699999999999999E-2</v>
          </cell>
          <cell r="I23">
            <v>4.24E-2</v>
          </cell>
          <cell r="J23">
            <v>4.24E-2</v>
          </cell>
          <cell r="K23">
            <v>2.2700000000000001E-2</v>
          </cell>
          <cell r="L23">
            <v>2.9700000000000001E-2</v>
          </cell>
          <cell r="M23">
            <v>2.9700000000000001E-2</v>
          </cell>
          <cell r="N23">
            <v>4.7600000000000003E-2</v>
          </cell>
          <cell r="O23">
            <v>0</v>
          </cell>
          <cell r="P23">
            <v>3.5200000000000002E-2</v>
          </cell>
          <cell r="Q23">
            <v>3.5200000000000002E-2</v>
          </cell>
          <cell r="R23">
            <v>5.5599999999999997E-2</v>
          </cell>
          <cell r="S23">
            <v>5.5599999999999997E-2</v>
          </cell>
          <cell r="T23">
            <v>4.0899999999999999E-2</v>
          </cell>
          <cell r="U23">
            <v>4.0899999999999999E-2</v>
          </cell>
          <cell r="V23">
            <v>4.0899999999999999E-2</v>
          </cell>
          <cell r="W23">
            <v>4.0899999999999999E-2</v>
          </cell>
          <cell r="X23">
            <v>4.0899999999999999E-2</v>
          </cell>
          <cell r="Y23">
            <v>4.0899999999999999E-2</v>
          </cell>
          <cell r="Z23">
            <v>4.0899999999999999E-2</v>
          </cell>
          <cell r="AA23">
            <v>4.0899999999999999E-2</v>
          </cell>
          <cell r="AB23">
            <v>4.0899999999999999E-2</v>
          </cell>
          <cell r="AC23">
            <v>4.0899999999999999E-2</v>
          </cell>
          <cell r="AD23">
            <v>3.78E-2</v>
          </cell>
          <cell r="AE23">
            <v>0</v>
          </cell>
        </row>
        <row r="24">
          <cell r="A24" t="str">
            <v>2011G&amp;A</v>
          </cell>
          <cell r="B24" t="str">
            <v>G&amp;A</v>
          </cell>
          <cell r="C24">
            <v>9.0499999999999997E-2</v>
          </cell>
          <cell r="D24">
            <v>9.0499999999999997E-2</v>
          </cell>
          <cell r="E24">
            <v>0.1202</v>
          </cell>
          <cell r="F24">
            <v>0.1202</v>
          </cell>
          <cell r="G24">
            <v>0.13489999999999999</v>
          </cell>
          <cell r="H24">
            <v>9.1800000000000007E-2</v>
          </cell>
          <cell r="I24">
            <v>0.14829999999999999</v>
          </cell>
          <cell r="J24">
            <v>0.14829999999999999</v>
          </cell>
          <cell r="K24">
            <v>0.18970000000000001</v>
          </cell>
          <cell r="L24">
            <v>9.1999999999999998E-2</v>
          </cell>
          <cell r="M24">
            <v>9.1999999999999998E-2</v>
          </cell>
          <cell r="N24">
            <v>0.1527</v>
          </cell>
          <cell r="O24">
            <v>0.13589999999999999</v>
          </cell>
          <cell r="P24">
            <v>0.13100000000000001</v>
          </cell>
          <cell r="Q24">
            <v>0.13100000000000001</v>
          </cell>
          <cell r="R24">
            <v>0.15759999999999999</v>
          </cell>
          <cell r="S24">
            <v>0.15759999999999999</v>
          </cell>
          <cell r="T24">
            <v>0.1321</v>
          </cell>
          <cell r="U24">
            <v>0.1321</v>
          </cell>
          <cell r="V24">
            <v>0.1321</v>
          </cell>
          <cell r="W24">
            <v>0.1321</v>
          </cell>
          <cell r="X24">
            <v>0.1321</v>
          </cell>
          <cell r="Y24">
            <v>0.1321</v>
          </cell>
          <cell r="Z24">
            <v>0.1321</v>
          </cell>
          <cell r="AA24">
            <v>0.1321</v>
          </cell>
          <cell r="AB24">
            <v>0.1321</v>
          </cell>
          <cell r="AC24">
            <v>0.1696</v>
          </cell>
          <cell r="AD24">
            <v>0.13589999999999999</v>
          </cell>
          <cell r="AE24">
            <v>0</v>
          </cell>
        </row>
        <row r="25">
          <cell r="B25" t="str">
            <v>Wrap - On</v>
          </cell>
          <cell r="C25">
            <v>1.5189367304999999</v>
          </cell>
          <cell r="D25">
            <v>1.5189367304999999</v>
          </cell>
          <cell r="E25">
            <v>1.5519816501000003</v>
          </cell>
          <cell r="F25">
            <v>1.5519816501000003</v>
          </cell>
          <cell r="G25">
            <v>1.7443412999999999</v>
          </cell>
          <cell r="H25">
            <v>1.5336536436000001</v>
          </cell>
          <cell r="I25" t="str">
            <v>n/a</v>
          </cell>
          <cell r="J25">
            <v>1.7550800927999997</v>
          </cell>
          <cell r="K25" t="str">
            <v>n/a</v>
          </cell>
          <cell r="L25">
            <v>1.4650998398400001</v>
          </cell>
          <cell r="M25" t="str">
            <v>n/a</v>
          </cell>
          <cell r="N25">
            <v>1.8394190077749999</v>
          </cell>
          <cell r="O25">
            <v>1.8692870195999998</v>
          </cell>
          <cell r="P25">
            <v>1.6981965000000001</v>
          </cell>
          <cell r="Q25">
            <v>1.60913025</v>
          </cell>
          <cell r="R25">
            <v>1.6826815719999999</v>
          </cell>
          <cell r="S25">
            <v>2.0568641960000003</v>
          </cell>
          <cell r="T25">
            <v>1.7043057937499999</v>
          </cell>
          <cell r="U25">
            <v>1.5354106249999997</v>
          </cell>
          <cell r="V25">
            <v>1.6512420025499999</v>
          </cell>
          <cell r="W25">
            <v>1.7996255004749999</v>
          </cell>
          <cell r="X25">
            <v>1.6208043619499999</v>
          </cell>
          <cell r="Y25">
            <v>1.6728900187499995</v>
          </cell>
          <cell r="Z25">
            <v>1.5071081249999996</v>
          </cell>
          <cell r="AA25">
            <v>1.6733853125</v>
          </cell>
          <cell r="AB25">
            <v>1.5915061799999997</v>
          </cell>
          <cell r="AC25" t="str">
            <v>n/a</v>
          </cell>
          <cell r="AD25">
            <v>1.6622948023499997</v>
          </cell>
          <cell r="AE25">
            <v>1</v>
          </cell>
        </row>
        <row r="26">
          <cell r="B26" t="str">
            <v>Wrap - Off</v>
          </cell>
          <cell r="C26">
            <v>1.7274037987499999</v>
          </cell>
          <cell r="D26">
            <v>1.5690277575</v>
          </cell>
          <cell r="E26">
            <v>1.8085012890000003</v>
          </cell>
          <cell r="F26">
            <v>1.9144386030000002</v>
          </cell>
          <cell r="G26">
            <v>2.0240941499999998</v>
          </cell>
          <cell r="H26">
            <v>1.6822126860000002</v>
          </cell>
          <cell r="I26">
            <v>2.0188216367999998</v>
          </cell>
          <cell r="J26">
            <v>2.2461850368</v>
          </cell>
          <cell r="K26">
            <v>2.39439022</v>
          </cell>
          <cell r="L26">
            <v>1.7180491910400002</v>
          </cell>
          <cell r="M26">
            <v>1.76987664672</v>
          </cell>
          <cell r="N26">
            <v>2.2455950422499997</v>
          </cell>
          <cell r="O26">
            <v>1.8692870195999998</v>
          </cell>
          <cell r="P26">
            <v>1.972980867</v>
          </cell>
          <cell r="Q26">
            <v>1.8695028494999999</v>
          </cell>
          <cell r="R26">
            <v>2.0082924576000001</v>
          </cell>
          <cell r="S26" t="str">
            <v>n/a</v>
          </cell>
          <cell r="T26">
            <v>2.3483291812499996</v>
          </cell>
          <cell r="U26">
            <v>2.1156118749999999</v>
          </cell>
          <cell r="V26">
            <v>2.2752136348499996</v>
          </cell>
          <cell r="W26">
            <v>2.2752136348499996</v>
          </cell>
          <cell r="X26">
            <v>2.2752136348499996</v>
          </cell>
          <cell r="Y26">
            <v>2.3483291812499996</v>
          </cell>
          <cell r="Z26">
            <v>2.1156118749999999</v>
          </cell>
          <cell r="AA26">
            <v>2.1156118749999999</v>
          </cell>
          <cell r="AB26" t="str">
            <v>n/a</v>
          </cell>
          <cell r="AC26">
            <v>2.3505784535999998</v>
          </cell>
          <cell r="AD26">
            <v>2.0290922469999999</v>
          </cell>
          <cell r="AE26">
            <v>1</v>
          </cell>
        </row>
        <row r="27">
          <cell r="B27">
            <v>2012</v>
          </cell>
        </row>
        <row r="28">
          <cell r="A28" t="str">
            <v>2012PRB</v>
          </cell>
          <cell r="B28" t="str">
            <v>PRB</v>
          </cell>
          <cell r="C28">
            <v>0.35099999999999998</v>
          </cell>
          <cell r="D28">
            <v>0.35099999999999998</v>
          </cell>
          <cell r="E28">
            <v>0.35099999999999998</v>
          </cell>
          <cell r="F28">
            <v>0.35099999999999998</v>
          </cell>
          <cell r="G28">
            <v>0.45</v>
          </cell>
          <cell r="H28">
            <v>0.38</v>
          </cell>
          <cell r="I28">
            <v>0.44</v>
          </cell>
          <cell r="J28">
            <v>0.44</v>
          </cell>
          <cell r="K28">
            <v>0.45</v>
          </cell>
          <cell r="L28">
            <v>0.31240000000000001</v>
          </cell>
          <cell r="M28">
            <v>0.42159999999999997</v>
          </cell>
          <cell r="N28">
            <v>0.47249999999999998</v>
          </cell>
          <cell r="O28">
            <v>0.43</v>
          </cell>
          <cell r="P28">
            <v>0.43</v>
          </cell>
          <cell r="Q28">
            <v>0.35499999999999998</v>
          </cell>
          <cell r="R28">
            <v>0.43</v>
          </cell>
          <cell r="S28">
            <v>0.51219999999999999</v>
          </cell>
          <cell r="T28">
            <v>0.38750000000000001</v>
          </cell>
          <cell r="U28">
            <v>0.25</v>
          </cell>
          <cell r="V28">
            <v>0.34429999999999999</v>
          </cell>
          <cell r="W28">
            <v>0.34429999999999999</v>
          </cell>
          <cell r="X28">
            <v>0.34429999999999999</v>
          </cell>
          <cell r="Y28">
            <v>0.38750000000000001</v>
          </cell>
          <cell r="Z28">
            <v>0.25</v>
          </cell>
          <cell r="AA28">
            <v>0.25</v>
          </cell>
          <cell r="AB28">
            <v>0.32</v>
          </cell>
          <cell r="AC28">
            <v>0.34429999999999999</v>
          </cell>
          <cell r="AD28">
            <v>0.37409999999999999</v>
          </cell>
          <cell r="AE28">
            <v>0</v>
          </cell>
        </row>
        <row r="29">
          <cell r="A29" t="str">
            <v>2012Overhead - Offsite</v>
          </cell>
          <cell r="B29" t="str">
            <v>Overhead - Offsite</v>
          </cell>
          <cell r="C29">
            <v>0.17249999999999999</v>
          </cell>
          <cell r="D29">
            <v>6.5000000000000002E-2</v>
          </cell>
          <cell r="E29">
            <v>0.19500000000000001</v>
          </cell>
          <cell r="F29">
            <v>0.26500000000000001</v>
          </cell>
          <cell r="G29">
            <v>0.23</v>
          </cell>
          <cell r="H29">
            <v>0.11650000000000001</v>
          </cell>
          <cell r="I29">
            <v>0.22090000000000001</v>
          </cell>
          <cell r="J29">
            <v>0.3584</v>
          </cell>
          <cell r="K29">
            <v>0.38800000000000001</v>
          </cell>
          <cell r="L29">
            <v>0.1988</v>
          </cell>
          <cell r="M29">
            <v>0.1401</v>
          </cell>
          <cell r="N29">
            <v>0.32300000000000001</v>
          </cell>
          <cell r="O29">
            <v>0.15079999999999999</v>
          </cell>
          <cell r="P29">
            <v>0.21990000000000001</v>
          </cell>
          <cell r="Q29">
            <v>0.21990000000000001</v>
          </cell>
          <cell r="R29">
            <v>0.2132</v>
          </cell>
          <cell r="S29" t="str">
            <v>n/a</v>
          </cell>
          <cell r="T29">
            <v>0.495</v>
          </cell>
          <cell r="U29">
            <v>0.495</v>
          </cell>
          <cell r="V29">
            <v>0.495</v>
          </cell>
          <cell r="W29">
            <v>0.495</v>
          </cell>
          <cell r="X29">
            <v>0.495</v>
          </cell>
          <cell r="Y29">
            <v>0.495</v>
          </cell>
          <cell r="Z29">
            <v>0.495</v>
          </cell>
          <cell r="AA29">
            <v>0.495</v>
          </cell>
          <cell r="AB29" t="str">
            <v>n/a</v>
          </cell>
          <cell r="AC29">
            <v>0.495</v>
          </cell>
          <cell r="AD29">
            <v>0.3</v>
          </cell>
          <cell r="AE29">
            <v>0</v>
          </cell>
        </row>
        <row r="30">
          <cell r="A30" t="str">
            <v>2012Overhead - Onsite</v>
          </cell>
          <cell r="B30" t="str">
            <v>Overhead - Onsite</v>
          </cell>
          <cell r="C30">
            <v>3.1E-2</v>
          </cell>
          <cell r="D30">
            <v>3.1E-2</v>
          </cell>
          <cell r="E30">
            <v>2.5499999999999998E-2</v>
          </cell>
          <cell r="F30">
            <v>2.5499999999999998E-2</v>
          </cell>
          <cell r="G30">
            <v>0.06</v>
          </cell>
          <cell r="H30">
            <v>1.7899999999999999E-2</v>
          </cell>
          <cell r="I30" t="str">
            <v>n/a</v>
          </cell>
          <cell r="J30">
            <v>6.1400000000000003E-2</v>
          </cell>
          <cell r="K30" t="str">
            <v>n/a</v>
          </cell>
          <cell r="L30">
            <v>2.23E-2</v>
          </cell>
          <cell r="M30" t="str">
            <v>n/a</v>
          </cell>
          <cell r="N30">
            <v>8.3699999999999997E-2</v>
          </cell>
          <cell r="O30">
            <v>0.15079999999999999</v>
          </cell>
          <cell r="P30">
            <v>0.05</v>
          </cell>
          <cell r="Q30">
            <v>0.05</v>
          </cell>
          <cell r="R30">
            <v>1.6500000000000001E-2</v>
          </cell>
          <cell r="S30">
            <v>0.17499999999999999</v>
          </cell>
          <cell r="T30">
            <v>8.5000000000000006E-2</v>
          </cell>
          <cell r="U30">
            <v>8.5000000000000006E-2</v>
          </cell>
          <cell r="V30">
            <v>8.5000000000000006E-2</v>
          </cell>
          <cell r="W30">
            <v>0.1825</v>
          </cell>
          <cell r="X30">
            <v>6.5000000000000002E-2</v>
          </cell>
          <cell r="Y30">
            <v>6.5000000000000002E-2</v>
          </cell>
          <cell r="Z30">
            <v>6.5000000000000002E-2</v>
          </cell>
          <cell r="AA30">
            <v>0.1825</v>
          </cell>
          <cell r="AB30">
            <v>6.5000000000000002E-2</v>
          </cell>
          <cell r="AC30" t="str">
            <v>n/a</v>
          </cell>
          <cell r="AD30">
            <v>6.5000000000000002E-2</v>
          </cell>
          <cell r="AE30">
            <v>0</v>
          </cell>
        </row>
        <row r="31">
          <cell r="A31" t="str">
            <v>2012Material Handling</v>
          </cell>
          <cell r="B31" t="str">
            <v>Material Handling</v>
          </cell>
          <cell r="C31">
            <v>2.8400000000000002E-2</v>
          </cell>
          <cell r="D31">
            <v>2.8400000000000002E-2</v>
          </cell>
          <cell r="E31">
            <v>2.8000000000000001E-2</v>
          </cell>
          <cell r="F31">
            <v>2.8000000000000001E-2</v>
          </cell>
          <cell r="G31">
            <v>0.13250000000000001</v>
          </cell>
          <cell r="H31">
            <v>2.3099999999999999E-2</v>
          </cell>
          <cell r="I31">
            <v>4.19E-2</v>
          </cell>
          <cell r="J31">
            <v>4.19E-2</v>
          </cell>
          <cell r="K31">
            <v>2.18E-2</v>
          </cell>
          <cell r="L31">
            <v>2.8799999999999999E-2</v>
          </cell>
          <cell r="M31">
            <v>2.8799999999999999E-2</v>
          </cell>
          <cell r="N31">
            <v>4.6699999999999998E-2</v>
          </cell>
          <cell r="O31">
            <v>0</v>
          </cell>
          <cell r="P31">
            <v>3.4299999999999997E-2</v>
          </cell>
          <cell r="Q31">
            <v>3.4299999999999997E-2</v>
          </cell>
          <cell r="R31">
            <v>5.4699999999999999E-2</v>
          </cell>
          <cell r="S31">
            <v>5.4699999999999999E-2</v>
          </cell>
          <cell r="T31">
            <v>0.04</v>
          </cell>
          <cell r="U31">
            <v>0.04</v>
          </cell>
          <cell r="V31">
            <v>0.04</v>
          </cell>
          <cell r="W31">
            <v>0.04</v>
          </cell>
          <cell r="X31">
            <v>0.04</v>
          </cell>
          <cell r="Y31">
            <v>0.04</v>
          </cell>
          <cell r="Z31">
            <v>0.04</v>
          </cell>
          <cell r="AA31">
            <v>0.04</v>
          </cell>
          <cell r="AB31">
            <v>0.04</v>
          </cell>
          <cell r="AC31">
            <v>0.04</v>
          </cell>
          <cell r="AD31">
            <v>3.6799999999999999E-2</v>
          </cell>
          <cell r="AE31">
            <v>0</v>
          </cell>
        </row>
        <row r="32">
          <cell r="A32" t="str">
            <v>2012G&amp;A</v>
          </cell>
          <cell r="B32" t="str">
            <v>G&amp;A</v>
          </cell>
          <cell r="C32">
            <v>8.7999999999999995E-2</v>
          </cell>
          <cell r="D32">
            <v>8.7999999999999995E-2</v>
          </cell>
          <cell r="E32">
            <v>0.1181</v>
          </cell>
          <cell r="F32">
            <v>0.1181</v>
          </cell>
          <cell r="G32">
            <v>0.13250000000000001</v>
          </cell>
          <cell r="H32">
            <v>8.9300000000000004E-2</v>
          </cell>
          <cell r="I32">
            <v>0.1457</v>
          </cell>
          <cell r="J32">
            <v>0.1457</v>
          </cell>
          <cell r="K32">
            <v>0.18740000000000001</v>
          </cell>
          <cell r="L32">
            <v>8.9499999999999996E-2</v>
          </cell>
          <cell r="M32">
            <v>8.9499999999999996E-2</v>
          </cell>
          <cell r="N32">
            <v>0.14960000000000001</v>
          </cell>
          <cell r="O32">
            <v>0.1338</v>
          </cell>
          <cell r="P32">
            <v>0.1293</v>
          </cell>
          <cell r="Q32">
            <v>0.1293</v>
          </cell>
          <cell r="R32">
            <v>0.15509999999999999</v>
          </cell>
          <cell r="S32">
            <v>0.15509999999999999</v>
          </cell>
          <cell r="T32">
            <v>0.12970000000000001</v>
          </cell>
          <cell r="U32">
            <v>0.12970000000000001</v>
          </cell>
          <cell r="V32">
            <v>0.12970000000000001</v>
          </cell>
          <cell r="W32">
            <v>0.12970000000000001</v>
          </cell>
          <cell r="X32">
            <v>0.12970000000000001</v>
          </cell>
          <cell r="Y32">
            <v>0.12970000000000001</v>
          </cell>
          <cell r="Z32">
            <v>0.12970000000000001</v>
          </cell>
          <cell r="AA32">
            <v>0.12970000000000001</v>
          </cell>
          <cell r="AB32">
            <v>0.12970000000000001</v>
          </cell>
          <cell r="AC32">
            <v>0.1673</v>
          </cell>
          <cell r="AD32">
            <v>0.13370000000000001</v>
          </cell>
          <cell r="AE32">
            <v>0</v>
          </cell>
        </row>
        <row r="33">
          <cell r="B33" t="str">
            <v>Wrap - On</v>
          </cell>
          <cell r="C33">
            <v>1.5154545279999998</v>
          </cell>
          <cell r="D33">
            <v>1.5154545279999998</v>
          </cell>
          <cell r="E33">
            <v>1.5490722040500002</v>
          </cell>
          <cell r="F33">
            <v>1.5490722040500002</v>
          </cell>
          <cell r="G33">
            <v>1.7406524999999999</v>
          </cell>
          <cell r="H33">
            <v>1.5301418885999998</v>
          </cell>
          <cell r="I33" t="str">
            <v>n/a</v>
          </cell>
          <cell r="J33">
            <v>1.7511062111999995</v>
          </cell>
          <cell r="K33" t="str">
            <v>n/a</v>
          </cell>
          <cell r="L33">
            <v>1.4617456735399998</v>
          </cell>
          <cell r="M33" t="str">
            <v>n/a</v>
          </cell>
          <cell r="N33">
            <v>1.8344721881999997</v>
          </cell>
          <cell r="O33">
            <v>1.8658311671999996</v>
          </cell>
          <cell r="P33">
            <v>1.69564395</v>
          </cell>
          <cell r="Q33">
            <v>1.6067115749999998</v>
          </cell>
          <cell r="R33">
            <v>1.6790475844999999</v>
          </cell>
          <cell r="S33">
            <v>2.0524221085000001</v>
          </cell>
          <cell r="T33">
            <v>1.7006927437499999</v>
          </cell>
          <cell r="U33">
            <v>1.5321556249999999</v>
          </cell>
          <cell r="V33">
            <v>1.6477414453499999</v>
          </cell>
          <cell r="W33">
            <v>1.795810377075</v>
          </cell>
          <cell r="X33">
            <v>1.6173683311499998</v>
          </cell>
          <cell r="Y33">
            <v>1.6693435687499998</v>
          </cell>
          <cell r="Z33">
            <v>1.5039131249999997</v>
          </cell>
          <cell r="AA33">
            <v>1.6698378125</v>
          </cell>
          <cell r="AB33">
            <v>1.5881322599999999</v>
          </cell>
          <cell r="AC33" t="str">
            <v>n/a</v>
          </cell>
          <cell r="AD33">
            <v>1.6590752860499998</v>
          </cell>
          <cell r="AE33">
            <v>1</v>
          </cell>
        </row>
        <row r="34">
          <cell r="B34" t="str">
            <v>Wrap - Off</v>
          </cell>
          <cell r="C34">
            <v>1.7234436799999999</v>
          </cell>
          <cell r="D34">
            <v>1.5654307200000002</v>
          </cell>
          <cell r="E34">
            <v>1.8051109545000004</v>
          </cell>
          <cell r="F34">
            <v>1.9108496715000003</v>
          </cell>
          <cell r="G34">
            <v>2.01981375</v>
          </cell>
          <cell r="H34">
            <v>1.678360761</v>
          </cell>
          <cell r="I34">
            <v>2.0142505871999998</v>
          </cell>
          <cell r="J34">
            <v>2.2410991872000001</v>
          </cell>
          <cell r="K34">
            <v>2.3897612399999999</v>
          </cell>
          <cell r="L34">
            <v>1.71411592824</v>
          </cell>
          <cell r="M34">
            <v>1.7658247313199997</v>
          </cell>
          <cell r="N34">
            <v>2.2395558779999996</v>
          </cell>
          <cell r="O34">
            <v>1.8658311671999996</v>
          </cell>
          <cell r="P34">
            <v>1.9700152900999999</v>
          </cell>
          <cell r="Q34">
            <v>1.86669280985</v>
          </cell>
          <cell r="R34">
            <v>2.0039552676000003</v>
          </cell>
          <cell r="S34" t="str">
            <v>n/a</v>
          </cell>
          <cell r="T34">
            <v>2.34335083125</v>
          </cell>
          <cell r="U34">
            <v>2.1111268750000001</v>
          </cell>
          <cell r="V34">
            <v>2.2703902864500001</v>
          </cell>
          <cell r="W34">
            <v>2.2703902864500001</v>
          </cell>
          <cell r="X34">
            <v>2.2703902864500001</v>
          </cell>
          <cell r="Y34">
            <v>2.34335083125</v>
          </cell>
          <cell r="Z34">
            <v>2.1111268750000001</v>
          </cell>
          <cell r="AA34">
            <v>2.1111268750000001</v>
          </cell>
          <cell r="AB34" t="str">
            <v>n/a</v>
          </cell>
          <cell r="AC34">
            <v>2.3459560780499999</v>
          </cell>
          <cell r="AD34">
            <v>2.0251623209999998</v>
          </cell>
          <cell r="AE34">
            <v>1</v>
          </cell>
        </row>
        <row r="35">
          <cell r="B35">
            <v>2013</v>
          </cell>
        </row>
        <row r="36">
          <cell r="A36" t="str">
            <v>2013PRB</v>
          </cell>
          <cell r="B36" t="str">
            <v>PRB</v>
          </cell>
          <cell r="C36">
            <v>0.35099999999999998</v>
          </cell>
          <cell r="D36">
            <v>0.35099999999999998</v>
          </cell>
          <cell r="E36">
            <v>0.35099999999999998</v>
          </cell>
          <cell r="F36">
            <v>0.35099999999999998</v>
          </cell>
          <cell r="G36">
            <v>0.45</v>
          </cell>
          <cell r="H36">
            <v>0.38</v>
          </cell>
          <cell r="I36">
            <v>0.44</v>
          </cell>
          <cell r="J36">
            <v>0.44</v>
          </cell>
          <cell r="K36">
            <v>0.45</v>
          </cell>
          <cell r="L36">
            <v>0.31240000000000001</v>
          </cell>
          <cell r="M36">
            <v>0.42159999999999997</v>
          </cell>
          <cell r="N36">
            <v>0.47249999999999998</v>
          </cell>
          <cell r="O36">
            <v>0.43</v>
          </cell>
          <cell r="P36">
            <v>0.43</v>
          </cell>
          <cell r="Q36">
            <v>0.35499999999999998</v>
          </cell>
          <cell r="R36">
            <v>0.43</v>
          </cell>
          <cell r="S36">
            <v>0.51219999999999999</v>
          </cell>
          <cell r="T36">
            <v>0.38750000000000001</v>
          </cell>
          <cell r="U36">
            <v>0.25</v>
          </cell>
          <cell r="V36">
            <v>0.34429999999999999</v>
          </cell>
          <cell r="W36">
            <v>0.34429999999999999</v>
          </cell>
          <cell r="X36">
            <v>0.34429999999999999</v>
          </cell>
          <cell r="Y36">
            <v>0.38750000000000001</v>
          </cell>
          <cell r="Z36">
            <v>0.25</v>
          </cell>
          <cell r="AA36">
            <v>0.25</v>
          </cell>
          <cell r="AB36">
            <v>0.32</v>
          </cell>
          <cell r="AC36">
            <v>0.34429999999999999</v>
          </cell>
          <cell r="AD36">
            <v>0.37409999999999999</v>
          </cell>
          <cell r="AE36">
            <v>0</v>
          </cell>
        </row>
        <row r="37">
          <cell r="A37" t="str">
            <v>2013Overhead - Offsite</v>
          </cell>
          <cell r="B37" t="str">
            <v>Overhead - Offsite</v>
          </cell>
          <cell r="C37">
            <v>0.17249999999999999</v>
          </cell>
          <cell r="D37">
            <v>6.5000000000000002E-2</v>
          </cell>
          <cell r="E37">
            <v>0.19500000000000001</v>
          </cell>
          <cell r="F37">
            <v>0.26500000000000001</v>
          </cell>
          <cell r="G37">
            <v>0.23</v>
          </cell>
          <cell r="H37">
            <v>0.11650000000000001</v>
          </cell>
          <cell r="I37">
            <v>0.22090000000000001</v>
          </cell>
          <cell r="J37">
            <v>0.3584</v>
          </cell>
          <cell r="K37">
            <v>0.38800000000000001</v>
          </cell>
          <cell r="L37">
            <v>0.1988</v>
          </cell>
          <cell r="M37">
            <v>0.1401</v>
          </cell>
          <cell r="N37">
            <v>0.32300000000000001</v>
          </cell>
          <cell r="O37">
            <v>0.15079999999999999</v>
          </cell>
          <cell r="P37">
            <v>0.21990000000000001</v>
          </cell>
          <cell r="Q37">
            <v>0.21990000000000001</v>
          </cell>
          <cell r="R37">
            <v>0.2132</v>
          </cell>
          <cell r="S37" t="str">
            <v>n/a</v>
          </cell>
          <cell r="T37">
            <v>0.495</v>
          </cell>
          <cell r="U37">
            <v>0.495</v>
          </cell>
          <cell r="V37">
            <v>0.495</v>
          </cell>
          <cell r="W37">
            <v>0.495</v>
          </cell>
          <cell r="X37">
            <v>0.495</v>
          </cell>
          <cell r="Y37">
            <v>0.495</v>
          </cell>
          <cell r="Z37">
            <v>0.495</v>
          </cell>
          <cell r="AA37">
            <v>0.495</v>
          </cell>
          <cell r="AB37" t="str">
            <v>n/a</v>
          </cell>
          <cell r="AC37">
            <v>0.495</v>
          </cell>
          <cell r="AD37">
            <v>0.3</v>
          </cell>
          <cell r="AE37">
            <v>0</v>
          </cell>
        </row>
        <row r="38">
          <cell r="A38" t="str">
            <v>2013Overhead - Onsite</v>
          </cell>
          <cell r="B38" t="str">
            <v>Overhead - Onsite</v>
          </cell>
          <cell r="C38">
            <v>3.1E-2</v>
          </cell>
          <cell r="D38">
            <v>3.1E-2</v>
          </cell>
          <cell r="E38">
            <v>2.5499999999999998E-2</v>
          </cell>
          <cell r="F38">
            <v>2.5499999999999998E-2</v>
          </cell>
          <cell r="G38">
            <v>0.06</v>
          </cell>
          <cell r="H38">
            <v>1.7899999999999999E-2</v>
          </cell>
          <cell r="I38" t="str">
            <v>n/a</v>
          </cell>
          <cell r="J38">
            <v>6.1400000000000003E-2</v>
          </cell>
          <cell r="K38" t="str">
            <v>n/a</v>
          </cell>
          <cell r="L38">
            <v>2.23E-2</v>
          </cell>
          <cell r="M38" t="str">
            <v>n/a</v>
          </cell>
          <cell r="N38">
            <v>8.3699999999999997E-2</v>
          </cell>
          <cell r="O38">
            <v>0.15079999999999999</v>
          </cell>
          <cell r="P38">
            <v>0.05</v>
          </cell>
          <cell r="Q38">
            <v>0.05</v>
          </cell>
          <cell r="R38">
            <v>1.6500000000000001E-2</v>
          </cell>
          <cell r="S38">
            <v>0.17499999999999999</v>
          </cell>
          <cell r="T38">
            <v>8.5000000000000006E-2</v>
          </cell>
          <cell r="U38">
            <v>8.5000000000000006E-2</v>
          </cell>
          <cell r="V38">
            <v>8.5000000000000006E-2</v>
          </cell>
          <cell r="W38">
            <v>0.1825</v>
          </cell>
          <cell r="X38">
            <v>6.5000000000000002E-2</v>
          </cell>
          <cell r="Y38">
            <v>6.5000000000000002E-2</v>
          </cell>
          <cell r="Z38">
            <v>6.5000000000000002E-2</v>
          </cell>
          <cell r="AA38">
            <v>0.1825</v>
          </cell>
          <cell r="AB38">
            <v>6.5000000000000002E-2</v>
          </cell>
          <cell r="AC38" t="str">
            <v>n/a</v>
          </cell>
          <cell r="AD38">
            <v>6.5000000000000002E-2</v>
          </cell>
          <cell r="AE38">
            <v>0</v>
          </cell>
        </row>
        <row r="39">
          <cell r="A39" t="str">
            <v>2013Material Handling</v>
          </cell>
          <cell r="B39" t="str">
            <v>Material Handling</v>
          </cell>
          <cell r="C39">
            <v>2.76E-2</v>
          </cell>
          <cell r="D39">
            <v>2.76E-2</v>
          </cell>
          <cell r="E39">
            <v>2.7099999999999999E-2</v>
          </cell>
          <cell r="F39">
            <v>2.7099999999999999E-2</v>
          </cell>
          <cell r="G39">
            <v>0.13020000000000001</v>
          </cell>
          <cell r="H39">
            <v>2.2599999999999999E-2</v>
          </cell>
          <cell r="I39">
            <v>4.1300000000000003E-2</v>
          </cell>
          <cell r="J39">
            <v>4.1300000000000003E-2</v>
          </cell>
          <cell r="K39">
            <v>2.1000000000000001E-2</v>
          </cell>
          <cell r="L39">
            <v>2.8000000000000001E-2</v>
          </cell>
          <cell r="M39">
            <v>2.8000000000000001E-2</v>
          </cell>
          <cell r="N39">
            <v>4.5900000000000003E-2</v>
          </cell>
          <cell r="O39">
            <v>0</v>
          </cell>
          <cell r="P39">
            <v>3.3500000000000002E-2</v>
          </cell>
          <cell r="Q39">
            <v>3.3500000000000002E-2</v>
          </cell>
          <cell r="R39">
            <v>5.3900000000000003E-2</v>
          </cell>
          <cell r="S39">
            <v>5.3900000000000003E-2</v>
          </cell>
          <cell r="T39">
            <v>3.9100000000000003E-2</v>
          </cell>
          <cell r="U39">
            <v>3.9100000000000003E-2</v>
          </cell>
          <cell r="V39">
            <v>3.9100000000000003E-2</v>
          </cell>
          <cell r="W39">
            <v>3.9100000000000003E-2</v>
          </cell>
          <cell r="X39">
            <v>3.9100000000000003E-2</v>
          </cell>
          <cell r="Y39">
            <v>3.9100000000000003E-2</v>
          </cell>
          <cell r="Z39">
            <v>3.9100000000000003E-2</v>
          </cell>
          <cell r="AA39">
            <v>3.9100000000000003E-2</v>
          </cell>
          <cell r="AB39">
            <v>3.9100000000000003E-2</v>
          </cell>
          <cell r="AC39">
            <v>3.9100000000000003E-2</v>
          </cell>
          <cell r="AD39">
            <v>3.5900000000000001E-2</v>
          </cell>
          <cell r="AE39">
            <v>0</v>
          </cell>
        </row>
        <row r="40">
          <cell r="A40" t="str">
            <v>2013G&amp;A</v>
          </cell>
          <cell r="B40" t="str">
            <v>G&amp;A</v>
          </cell>
          <cell r="C40">
            <v>8.5699999999999998E-2</v>
          </cell>
          <cell r="D40">
            <v>8.5699999999999998E-2</v>
          </cell>
          <cell r="E40">
            <v>0.11609999999999999</v>
          </cell>
          <cell r="F40">
            <v>0.11609999999999999</v>
          </cell>
          <cell r="G40">
            <v>0.13020000000000001</v>
          </cell>
          <cell r="H40">
            <v>8.6900000000000005E-2</v>
          </cell>
          <cell r="I40">
            <v>0.14319999999999999</v>
          </cell>
          <cell r="J40">
            <v>0.14319999999999999</v>
          </cell>
          <cell r="K40">
            <v>0.18529999999999999</v>
          </cell>
          <cell r="L40">
            <v>8.7099999999999997E-2</v>
          </cell>
          <cell r="M40">
            <v>8.7099999999999997E-2</v>
          </cell>
          <cell r="N40">
            <v>0.14680000000000001</v>
          </cell>
          <cell r="O40">
            <v>0.1318</v>
          </cell>
          <cell r="P40">
            <v>0.12759999999999999</v>
          </cell>
          <cell r="Q40">
            <v>0.12759999999999999</v>
          </cell>
          <cell r="R40">
            <v>0.15260000000000001</v>
          </cell>
          <cell r="S40">
            <v>0.15260000000000001</v>
          </cell>
          <cell r="T40">
            <v>0.12740000000000001</v>
          </cell>
          <cell r="U40">
            <v>0.12740000000000001</v>
          </cell>
          <cell r="V40">
            <v>0.12740000000000001</v>
          </cell>
          <cell r="W40">
            <v>0.12740000000000001</v>
          </cell>
          <cell r="X40">
            <v>0.12740000000000001</v>
          </cell>
          <cell r="Y40">
            <v>0.12740000000000001</v>
          </cell>
          <cell r="Z40">
            <v>0.12740000000000001</v>
          </cell>
          <cell r="AA40">
            <v>0.12740000000000001</v>
          </cell>
          <cell r="AB40">
            <v>0.12740000000000001</v>
          </cell>
          <cell r="AC40">
            <v>0.16500000000000001</v>
          </cell>
          <cell r="AD40">
            <v>0.13159999999999999</v>
          </cell>
          <cell r="AE40">
            <v>0</v>
          </cell>
        </row>
        <row r="41">
          <cell r="B41" t="str">
            <v>Wrap - On</v>
          </cell>
          <cell r="C41">
            <v>1.5122509016999999</v>
          </cell>
          <cell r="D41">
            <v>1.5122509016999999</v>
          </cell>
          <cell r="E41">
            <v>1.5463013030500004</v>
          </cell>
          <cell r="F41">
            <v>1.5463013030500004</v>
          </cell>
          <cell r="G41">
            <v>1.7371174</v>
          </cell>
          <cell r="H41">
            <v>1.5267706038</v>
          </cell>
          <cell r="I41" t="str">
            <v>n/a</v>
          </cell>
          <cell r="J41">
            <v>1.7472851711999997</v>
          </cell>
          <cell r="K41" t="str">
            <v>n/a</v>
          </cell>
          <cell r="L41">
            <v>1.4585256738919998</v>
          </cell>
          <cell r="M41" t="str">
            <v>n/a</v>
          </cell>
          <cell r="N41">
            <v>1.8300040930999999</v>
          </cell>
          <cell r="O41">
            <v>1.8625398791999996</v>
          </cell>
          <cell r="P41">
            <v>1.6930913999999999</v>
          </cell>
          <cell r="Q41">
            <v>1.6042928999999999</v>
          </cell>
          <cell r="R41">
            <v>1.6754135970000001</v>
          </cell>
          <cell r="S41">
            <v>2.0479800210000003</v>
          </cell>
          <cell r="T41">
            <v>1.6972302374999999</v>
          </cell>
          <cell r="U41">
            <v>1.5290362499999999</v>
          </cell>
          <cell r="V41">
            <v>1.6443867446999998</v>
          </cell>
          <cell r="W41">
            <v>1.79215421715</v>
          </cell>
          <cell r="X41">
            <v>1.6140754683</v>
          </cell>
          <cell r="Y41">
            <v>1.6659448874999998</v>
          </cell>
          <cell r="Z41">
            <v>1.5008512499999997</v>
          </cell>
          <cell r="AA41">
            <v>1.666438125</v>
          </cell>
          <cell r="AB41">
            <v>1.5848989199999999</v>
          </cell>
          <cell r="AC41" t="str">
            <v>n/a</v>
          </cell>
          <cell r="AD41">
            <v>1.6560021113999999</v>
          </cell>
          <cell r="AE41">
            <v>1</v>
          </cell>
        </row>
        <row r="42">
          <cell r="B42" t="str">
            <v>Wrap - Off</v>
          </cell>
          <cell r="C42">
            <v>1.71980037075</v>
          </cell>
          <cell r="D42">
            <v>1.5621214455000001</v>
          </cell>
          <cell r="E42">
            <v>1.8018820645000002</v>
          </cell>
          <cell r="F42">
            <v>1.9074316415000003</v>
          </cell>
          <cell r="G42">
            <v>2.0157117000000002</v>
          </cell>
          <cell r="H42">
            <v>1.6746629129999999</v>
          </cell>
          <cell r="I42">
            <v>2.0098553472000003</v>
          </cell>
          <cell r="J42">
            <v>2.2362089472000002</v>
          </cell>
          <cell r="K42">
            <v>2.38553478</v>
          </cell>
          <cell r="L42">
            <v>1.710339995952</v>
          </cell>
          <cell r="M42">
            <v>1.7619348925359997</v>
          </cell>
          <cell r="N42">
            <v>2.2341011489999998</v>
          </cell>
          <cell r="O42">
            <v>1.8625398791999996</v>
          </cell>
          <cell r="P42">
            <v>1.9670497131999998</v>
          </cell>
          <cell r="Q42">
            <v>1.8638827701999998</v>
          </cell>
          <cell r="R42">
            <v>1.9996180776000003</v>
          </cell>
          <cell r="S42" t="str">
            <v>n/a</v>
          </cell>
          <cell r="T42">
            <v>2.3385799124999997</v>
          </cell>
          <cell r="U42">
            <v>2.10682875</v>
          </cell>
          <cell r="V42">
            <v>2.2657679108999997</v>
          </cell>
          <cell r="W42">
            <v>2.2657679108999997</v>
          </cell>
          <cell r="X42">
            <v>2.2657679108999997</v>
          </cell>
          <cell r="Y42">
            <v>2.3385799124999997</v>
          </cell>
          <cell r="Z42">
            <v>2.10682875</v>
          </cell>
          <cell r="AA42">
            <v>2.10682875</v>
          </cell>
          <cell r="AB42" t="str">
            <v>n/a</v>
          </cell>
          <cell r="AC42">
            <v>2.3413337025000001</v>
          </cell>
          <cell r="AD42">
            <v>2.0214110279999997</v>
          </cell>
          <cell r="AE42">
            <v>1</v>
          </cell>
        </row>
        <row r="43">
          <cell r="B43">
            <v>2014</v>
          </cell>
        </row>
        <row r="44">
          <cell r="A44" t="str">
            <v>2014PRB</v>
          </cell>
          <cell r="B44" t="str">
            <v>PRB</v>
          </cell>
          <cell r="C44">
            <v>0.35099999999999998</v>
          </cell>
          <cell r="D44">
            <v>0.35099999999999998</v>
          </cell>
          <cell r="E44">
            <v>0.35099999999999998</v>
          </cell>
          <cell r="F44">
            <v>0.35099999999999998</v>
          </cell>
          <cell r="G44">
            <v>0.45</v>
          </cell>
          <cell r="H44">
            <v>0.38</v>
          </cell>
          <cell r="I44">
            <v>0.44</v>
          </cell>
          <cell r="J44">
            <v>0.44</v>
          </cell>
          <cell r="K44">
            <v>0.45</v>
          </cell>
          <cell r="L44">
            <v>0.31240000000000001</v>
          </cell>
          <cell r="M44">
            <v>0.42159999999999997</v>
          </cell>
          <cell r="N44">
            <v>0.47249999999999998</v>
          </cell>
          <cell r="O44">
            <v>0.43</v>
          </cell>
          <cell r="P44">
            <v>0.43</v>
          </cell>
          <cell r="Q44">
            <v>0.35499999999999998</v>
          </cell>
          <cell r="R44">
            <v>0.43</v>
          </cell>
          <cell r="S44">
            <v>0.51219999999999999</v>
          </cell>
          <cell r="T44">
            <v>0.38750000000000001</v>
          </cell>
          <cell r="U44">
            <v>0.25</v>
          </cell>
          <cell r="V44">
            <v>0.34429999999999999</v>
          </cell>
          <cell r="W44">
            <v>0.34429999999999999</v>
          </cell>
          <cell r="X44">
            <v>0.34429999999999999</v>
          </cell>
          <cell r="Y44">
            <v>0.38750000000000001</v>
          </cell>
          <cell r="Z44">
            <v>0.25</v>
          </cell>
          <cell r="AA44">
            <v>0.25</v>
          </cell>
          <cell r="AB44">
            <v>0.32</v>
          </cell>
          <cell r="AC44">
            <v>0.34429999999999999</v>
          </cell>
          <cell r="AD44">
            <v>0.37409999999999999</v>
          </cell>
          <cell r="AE44">
            <v>0</v>
          </cell>
        </row>
        <row r="45">
          <cell r="A45" t="str">
            <v>2014Overhead - Offsite</v>
          </cell>
          <cell r="B45" t="str">
            <v>Overhead - Offsite</v>
          </cell>
          <cell r="C45">
            <v>0.17249999999999999</v>
          </cell>
          <cell r="D45">
            <v>6.5000000000000002E-2</v>
          </cell>
          <cell r="E45">
            <v>0.19500000000000001</v>
          </cell>
          <cell r="F45">
            <v>0.26500000000000001</v>
          </cell>
          <cell r="G45">
            <v>0.23</v>
          </cell>
          <cell r="H45">
            <v>0.11650000000000001</v>
          </cell>
          <cell r="I45">
            <v>0.22090000000000001</v>
          </cell>
          <cell r="J45">
            <v>0.3584</v>
          </cell>
          <cell r="K45">
            <v>0.38800000000000001</v>
          </cell>
          <cell r="L45">
            <v>0.1988</v>
          </cell>
          <cell r="M45">
            <v>0.1401</v>
          </cell>
          <cell r="N45">
            <v>0.32300000000000001</v>
          </cell>
          <cell r="O45">
            <v>0.15079999999999999</v>
          </cell>
          <cell r="P45">
            <v>0.21990000000000001</v>
          </cell>
          <cell r="Q45">
            <v>0.21990000000000001</v>
          </cell>
          <cell r="R45">
            <v>0.2132</v>
          </cell>
          <cell r="S45" t="str">
            <v>n/a</v>
          </cell>
          <cell r="T45">
            <v>0.495</v>
          </cell>
          <cell r="U45">
            <v>0.495</v>
          </cell>
          <cell r="V45">
            <v>0.495</v>
          </cell>
          <cell r="W45">
            <v>0.495</v>
          </cell>
          <cell r="X45">
            <v>0.495</v>
          </cell>
          <cell r="Y45">
            <v>0.495</v>
          </cell>
          <cell r="Z45">
            <v>0.495</v>
          </cell>
          <cell r="AA45">
            <v>0.495</v>
          </cell>
          <cell r="AB45" t="str">
            <v>n/a</v>
          </cell>
          <cell r="AC45">
            <v>0.495</v>
          </cell>
          <cell r="AD45">
            <v>0.3</v>
          </cell>
          <cell r="AE45">
            <v>0</v>
          </cell>
        </row>
        <row r="46">
          <cell r="A46" t="str">
            <v>2014Overhead - Onsite</v>
          </cell>
          <cell r="B46" t="str">
            <v>Overhead - Onsite</v>
          </cell>
          <cell r="C46">
            <v>3.1E-2</v>
          </cell>
          <cell r="D46">
            <v>3.1E-2</v>
          </cell>
          <cell r="E46">
            <v>2.5499999999999998E-2</v>
          </cell>
          <cell r="F46">
            <v>2.5499999999999998E-2</v>
          </cell>
          <cell r="G46">
            <v>0.06</v>
          </cell>
          <cell r="H46">
            <v>1.7899999999999999E-2</v>
          </cell>
          <cell r="I46" t="str">
            <v>n/a</v>
          </cell>
          <cell r="J46">
            <v>6.1400000000000003E-2</v>
          </cell>
          <cell r="K46" t="str">
            <v>n/a</v>
          </cell>
          <cell r="L46">
            <v>2.23E-2</v>
          </cell>
          <cell r="M46" t="str">
            <v>n/a</v>
          </cell>
          <cell r="N46">
            <v>8.3699999999999997E-2</v>
          </cell>
          <cell r="O46">
            <v>0.15079999999999999</v>
          </cell>
          <cell r="P46">
            <v>0.05</v>
          </cell>
          <cell r="Q46">
            <v>0.05</v>
          </cell>
          <cell r="R46">
            <v>1.6500000000000001E-2</v>
          </cell>
          <cell r="S46">
            <v>0.17499999999999999</v>
          </cell>
          <cell r="T46">
            <v>8.5000000000000006E-2</v>
          </cell>
          <cell r="U46">
            <v>8.5000000000000006E-2</v>
          </cell>
          <cell r="V46">
            <v>8.5000000000000006E-2</v>
          </cell>
          <cell r="W46">
            <v>0.1825</v>
          </cell>
          <cell r="X46">
            <v>6.5000000000000002E-2</v>
          </cell>
          <cell r="Y46">
            <v>6.5000000000000002E-2</v>
          </cell>
          <cell r="Z46">
            <v>6.5000000000000002E-2</v>
          </cell>
          <cell r="AA46">
            <v>0.1825</v>
          </cell>
          <cell r="AB46">
            <v>6.5000000000000002E-2</v>
          </cell>
          <cell r="AC46" t="str">
            <v>n/a</v>
          </cell>
          <cell r="AD46">
            <v>6.5000000000000002E-2</v>
          </cell>
          <cell r="AE46">
            <v>0</v>
          </cell>
        </row>
        <row r="47">
          <cell r="A47" t="str">
            <v>2014Material Handling</v>
          </cell>
          <cell r="B47" t="str">
            <v>Material Handling</v>
          </cell>
          <cell r="C47">
            <v>2.76E-2</v>
          </cell>
          <cell r="D47">
            <v>2.76E-2</v>
          </cell>
          <cell r="E47">
            <v>2.7099999999999999E-2</v>
          </cell>
          <cell r="F47">
            <v>2.7099999999999999E-2</v>
          </cell>
          <cell r="G47">
            <v>0.13020000000000001</v>
          </cell>
          <cell r="H47">
            <v>2.2599999999999999E-2</v>
          </cell>
          <cell r="I47">
            <v>4.1300000000000003E-2</v>
          </cell>
          <cell r="J47">
            <v>4.1300000000000003E-2</v>
          </cell>
          <cell r="K47">
            <v>2.1000000000000001E-2</v>
          </cell>
          <cell r="L47">
            <v>2.8000000000000001E-2</v>
          </cell>
          <cell r="M47">
            <v>2.8000000000000001E-2</v>
          </cell>
          <cell r="N47">
            <v>4.5900000000000003E-2</v>
          </cell>
          <cell r="O47">
            <v>0</v>
          </cell>
          <cell r="P47">
            <v>3.3500000000000002E-2</v>
          </cell>
          <cell r="Q47">
            <v>3.3500000000000002E-2</v>
          </cell>
          <cell r="R47">
            <v>5.3900000000000003E-2</v>
          </cell>
          <cell r="S47">
            <v>5.3900000000000003E-2</v>
          </cell>
          <cell r="T47">
            <v>3.9100000000000003E-2</v>
          </cell>
          <cell r="U47">
            <v>3.9100000000000003E-2</v>
          </cell>
          <cell r="V47">
            <v>3.9100000000000003E-2</v>
          </cell>
          <cell r="W47">
            <v>3.9100000000000003E-2</v>
          </cell>
          <cell r="X47">
            <v>3.9100000000000003E-2</v>
          </cell>
          <cell r="Y47">
            <v>3.9100000000000003E-2</v>
          </cell>
          <cell r="Z47">
            <v>3.9100000000000003E-2</v>
          </cell>
          <cell r="AA47">
            <v>3.9100000000000003E-2</v>
          </cell>
          <cell r="AB47">
            <v>3.9100000000000003E-2</v>
          </cell>
          <cell r="AC47">
            <v>3.9100000000000003E-2</v>
          </cell>
          <cell r="AD47">
            <v>3.5900000000000001E-2</v>
          </cell>
          <cell r="AE47">
            <v>0</v>
          </cell>
        </row>
        <row r="48">
          <cell r="A48" t="str">
            <v>2014G&amp;A</v>
          </cell>
          <cell r="B48" t="str">
            <v>G&amp;A</v>
          </cell>
          <cell r="C48">
            <v>8.5699999999999998E-2</v>
          </cell>
          <cell r="D48">
            <v>8.5699999999999998E-2</v>
          </cell>
          <cell r="E48">
            <v>0.11609999999999999</v>
          </cell>
          <cell r="F48">
            <v>0.11609999999999999</v>
          </cell>
          <cell r="G48">
            <v>0.13020000000000001</v>
          </cell>
          <cell r="H48">
            <v>8.6900000000000005E-2</v>
          </cell>
          <cell r="I48">
            <v>0.14319999999999999</v>
          </cell>
          <cell r="J48">
            <v>0.14319999999999999</v>
          </cell>
          <cell r="K48">
            <v>0.18529999999999999</v>
          </cell>
          <cell r="L48">
            <v>8.7099999999999997E-2</v>
          </cell>
          <cell r="M48">
            <v>8.7099999999999997E-2</v>
          </cell>
          <cell r="N48">
            <v>0.14680000000000001</v>
          </cell>
          <cell r="O48">
            <v>0.1318</v>
          </cell>
          <cell r="P48">
            <v>0.12759999999999999</v>
          </cell>
          <cell r="Q48">
            <v>0.12759999999999999</v>
          </cell>
          <cell r="R48">
            <v>0.15260000000000001</v>
          </cell>
          <cell r="S48">
            <v>0.15260000000000001</v>
          </cell>
          <cell r="T48">
            <v>0.12740000000000001</v>
          </cell>
          <cell r="U48">
            <v>0.12740000000000001</v>
          </cell>
          <cell r="V48">
            <v>0.12740000000000001</v>
          </cell>
          <cell r="W48">
            <v>0.12740000000000001</v>
          </cell>
          <cell r="X48">
            <v>0.12740000000000001</v>
          </cell>
          <cell r="Y48">
            <v>0.12740000000000001</v>
          </cell>
          <cell r="Z48">
            <v>0.12740000000000001</v>
          </cell>
          <cell r="AA48">
            <v>0.12740000000000001</v>
          </cell>
          <cell r="AB48">
            <v>0.12740000000000001</v>
          </cell>
          <cell r="AC48">
            <v>0.16500000000000001</v>
          </cell>
          <cell r="AD48">
            <v>0.13159999999999999</v>
          </cell>
          <cell r="AE48">
            <v>0</v>
          </cell>
        </row>
        <row r="49">
          <cell r="B49" t="str">
            <v>Wrap - On</v>
          </cell>
          <cell r="C49">
            <v>1.5122509016999999</v>
          </cell>
          <cell r="D49">
            <v>1.5122509016999999</v>
          </cell>
          <cell r="E49">
            <v>1.5463013030500004</v>
          </cell>
          <cell r="F49">
            <v>1.5463013030500004</v>
          </cell>
          <cell r="G49">
            <v>1.7371174</v>
          </cell>
          <cell r="H49">
            <v>1.5267706038</v>
          </cell>
          <cell r="I49" t="str">
            <v>n/a</v>
          </cell>
          <cell r="J49">
            <v>1.7472851711999997</v>
          </cell>
          <cell r="K49" t="str">
            <v>n/a</v>
          </cell>
          <cell r="L49">
            <v>1.4585256738919998</v>
          </cell>
          <cell r="M49" t="str">
            <v>n/a</v>
          </cell>
          <cell r="N49">
            <v>1.8300040930999999</v>
          </cell>
          <cell r="O49">
            <v>1.8625398791999996</v>
          </cell>
          <cell r="P49">
            <v>1.6930913999999999</v>
          </cell>
          <cell r="Q49">
            <v>1.6042928999999999</v>
          </cell>
          <cell r="R49">
            <v>1.6754135970000001</v>
          </cell>
          <cell r="S49">
            <v>2.0479800210000003</v>
          </cell>
          <cell r="T49">
            <v>1.6972302374999999</v>
          </cell>
          <cell r="U49">
            <v>1.5290362499999999</v>
          </cell>
          <cell r="V49">
            <v>1.6443867446999998</v>
          </cell>
          <cell r="W49">
            <v>1.79215421715</v>
          </cell>
          <cell r="X49">
            <v>1.6140754683</v>
          </cell>
          <cell r="Y49">
            <v>1.6659448874999998</v>
          </cell>
          <cell r="Z49">
            <v>1.5008512499999997</v>
          </cell>
          <cell r="AA49">
            <v>1.666438125</v>
          </cell>
          <cell r="AB49">
            <v>1.5848989199999999</v>
          </cell>
          <cell r="AC49" t="str">
            <v>n/a</v>
          </cell>
          <cell r="AD49">
            <v>1.6560021113999999</v>
          </cell>
          <cell r="AE49">
            <v>1</v>
          </cell>
        </row>
        <row r="50">
          <cell r="B50" t="str">
            <v>Wrap - Off</v>
          </cell>
          <cell r="C50">
            <v>1.71980037075</v>
          </cell>
          <cell r="D50">
            <v>1.5621214455000001</v>
          </cell>
          <cell r="E50">
            <v>1.8018820645000002</v>
          </cell>
          <cell r="F50">
            <v>1.9074316415000003</v>
          </cell>
          <cell r="G50">
            <v>2.0157117000000002</v>
          </cell>
          <cell r="H50">
            <v>1.6746629129999999</v>
          </cell>
          <cell r="I50">
            <v>2.0098553472000003</v>
          </cell>
          <cell r="J50">
            <v>2.2362089472000002</v>
          </cell>
          <cell r="K50">
            <v>2.38553478</v>
          </cell>
          <cell r="L50">
            <v>1.710339995952</v>
          </cell>
          <cell r="M50">
            <v>1.7619348925359997</v>
          </cell>
          <cell r="N50">
            <v>2.2341011489999998</v>
          </cell>
          <cell r="O50">
            <v>1.8625398791999996</v>
          </cell>
          <cell r="P50">
            <v>1.9670497131999998</v>
          </cell>
          <cell r="Q50">
            <v>1.8638827701999998</v>
          </cell>
          <cell r="R50">
            <v>1.9996180776000003</v>
          </cell>
          <cell r="S50" t="str">
            <v>n/a</v>
          </cell>
          <cell r="T50">
            <v>2.3385799124999997</v>
          </cell>
          <cell r="U50">
            <v>2.10682875</v>
          </cell>
          <cell r="V50">
            <v>2.2657679108999997</v>
          </cell>
          <cell r="W50">
            <v>2.2657679108999997</v>
          </cell>
          <cell r="X50">
            <v>2.2657679108999997</v>
          </cell>
          <cell r="Y50">
            <v>2.3385799124999997</v>
          </cell>
          <cell r="Z50">
            <v>2.10682875</v>
          </cell>
          <cell r="AA50">
            <v>2.10682875</v>
          </cell>
          <cell r="AB50" t="str">
            <v>n/a</v>
          </cell>
          <cell r="AC50">
            <v>2.3413337025000001</v>
          </cell>
          <cell r="AD50">
            <v>2.0214110279999997</v>
          </cell>
          <cell r="AE50">
            <v>1</v>
          </cell>
        </row>
        <row r="51">
          <cell r="B51">
            <v>2015</v>
          </cell>
        </row>
        <row r="52">
          <cell r="A52" t="str">
            <v>2015PRB</v>
          </cell>
          <cell r="B52" t="str">
            <v>PRB</v>
          </cell>
          <cell r="C52">
            <v>0.35099999999999998</v>
          </cell>
          <cell r="D52">
            <v>0.35099999999999998</v>
          </cell>
          <cell r="E52">
            <v>0.35099999999999998</v>
          </cell>
          <cell r="F52">
            <v>0.35099999999999998</v>
          </cell>
          <cell r="G52">
            <v>0.45</v>
          </cell>
          <cell r="H52">
            <v>0.38</v>
          </cell>
          <cell r="I52">
            <v>0.44</v>
          </cell>
          <cell r="J52">
            <v>0.44</v>
          </cell>
          <cell r="K52">
            <v>0.45</v>
          </cell>
          <cell r="L52">
            <v>0.31240000000000001</v>
          </cell>
          <cell r="M52">
            <v>0.42159999999999997</v>
          </cell>
          <cell r="N52">
            <v>0.47249999999999998</v>
          </cell>
          <cell r="O52">
            <v>0.43</v>
          </cell>
          <cell r="P52">
            <v>0.43</v>
          </cell>
          <cell r="Q52">
            <v>0.35499999999999998</v>
          </cell>
          <cell r="R52">
            <v>0.43</v>
          </cell>
          <cell r="S52">
            <v>0.51219999999999999</v>
          </cell>
          <cell r="T52">
            <v>0.38750000000000001</v>
          </cell>
          <cell r="U52">
            <v>0.25</v>
          </cell>
          <cell r="V52">
            <v>0.34429999999999999</v>
          </cell>
          <cell r="W52">
            <v>0.34429999999999999</v>
          </cell>
          <cell r="X52">
            <v>0.34429999999999999</v>
          </cell>
          <cell r="Y52">
            <v>0.38750000000000001</v>
          </cell>
          <cell r="Z52">
            <v>0.25</v>
          </cell>
          <cell r="AA52">
            <v>0.25</v>
          </cell>
          <cell r="AB52">
            <v>0.32</v>
          </cell>
          <cell r="AC52">
            <v>0.34429999999999999</v>
          </cell>
          <cell r="AD52">
            <v>0.37409999999999999</v>
          </cell>
          <cell r="AE52">
            <v>0</v>
          </cell>
        </row>
        <row r="53">
          <cell r="A53" t="str">
            <v>2015Overhead - Offsite</v>
          </cell>
          <cell r="B53" t="str">
            <v>Overhead - Offsite</v>
          </cell>
          <cell r="C53">
            <v>0.17249999999999999</v>
          </cell>
          <cell r="D53">
            <v>6.5000000000000002E-2</v>
          </cell>
          <cell r="E53">
            <v>0.19500000000000001</v>
          </cell>
          <cell r="F53">
            <v>0.26500000000000001</v>
          </cell>
          <cell r="G53">
            <v>0.23</v>
          </cell>
          <cell r="H53">
            <v>0.11650000000000001</v>
          </cell>
          <cell r="I53">
            <v>0.22090000000000001</v>
          </cell>
          <cell r="J53">
            <v>0.3584</v>
          </cell>
          <cell r="K53">
            <v>0.38800000000000001</v>
          </cell>
          <cell r="L53">
            <v>0.1988</v>
          </cell>
          <cell r="M53">
            <v>0.1401</v>
          </cell>
          <cell r="N53">
            <v>0.32300000000000001</v>
          </cell>
          <cell r="O53">
            <v>0.15079999999999999</v>
          </cell>
          <cell r="P53">
            <v>0.21990000000000001</v>
          </cell>
          <cell r="Q53">
            <v>0.21990000000000001</v>
          </cell>
          <cell r="R53">
            <v>0.2132</v>
          </cell>
          <cell r="S53" t="str">
            <v>n/a</v>
          </cell>
          <cell r="T53">
            <v>0.495</v>
          </cell>
          <cell r="U53">
            <v>0.495</v>
          </cell>
          <cell r="V53">
            <v>0.495</v>
          </cell>
          <cell r="W53">
            <v>0.495</v>
          </cell>
          <cell r="X53">
            <v>0.495</v>
          </cell>
          <cell r="Y53">
            <v>0.495</v>
          </cell>
          <cell r="Z53">
            <v>0.495</v>
          </cell>
          <cell r="AA53">
            <v>0.495</v>
          </cell>
          <cell r="AB53" t="str">
            <v>n/a</v>
          </cell>
          <cell r="AC53">
            <v>0.495</v>
          </cell>
          <cell r="AD53">
            <v>0.3</v>
          </cell>
          <cell r="AE53">
            <v>0</v>
          </cell>
        </row>
        <row r="54">
          <cell r="A54" t="str">
            <v>2015Overhead - Onsite</v>
          </cell>
          <cell r="B54" t="str">
            <v>Overhead - Onsite</v>
          </cell>
          <cell r="C54">
            <v>3.1E-2</v>
          </cell>
          <cell r="D54">
            <v>3.1E-2</v>
          </cell>
          <cell r="E54">
            <v>2.5499999999999998E-2</v>
          </cell>
          <cell r="F54">
            <v>2.5499999999999998E-2</v>
          </cell>
          <cell r="G54">
            <v>0.06</v>
          </cell>
          <cell r="H54">
            <v>1.7899999999999999E-2</v>
          </cell>
          <cell r="I54" t="str">
            <v>n/a</v>
          </cell>
          <cell r="J54">
            <v>6.1400000000000003E-2</v>
          </cell>
          <cell r="K54" t="str">
            <v>n/a</v>
          </cell>
          <cell r="L54">
            <v>2.23E-2</v>
          </cell>
          <cell r="M54" t="str">
            <v>n/a</v>
          </cell>
          <cell r="N54">
            <v>8.3699999999999997E-2</v>
          </cell>
          <cell r="O54">
            <v>0.15079999999999999</v>
          </cell>
          <cell r="P54">
            <v>0.05</v>
          </cell>
          <cell r="Q54">
            <v>0.05</v>
          </cell>
          <cell r="R54">
            <v>1.6500000000000001E-2</v>
          </cell>
          <cell r="S54">
            <v>0.17499999999999999</v>
          </cell>
          <cell r="T54">
            <v>8.5000000000000006E-2</v>
          </cell>
          <cell r="U54">
            <v>8.5000000000000006E-2</v>
          </cell>
          <cell r="V54">
            <v>8.5000000000000006E-2</v>
          </cell>
          <cell r="W54">
            <v>0.1825</v>
          </cell>
          <cell r="X54">
            <v>6.5000000000000002E-2</v>
          </cell>
          <cell r="Y54">
            <v>6.5000000000000002E-2</v>
          </cell>
          <cell r="Z54">
            <v>6.5000000000000002E-2</v>
          </cell>
          <cell r="AA54">
            <v>0.1825</v>
          </cell>
          <cell r="AB54">
            <v>6.5000000000000002E-2</v>
          </cell>
          <cell r="AC54" t="str">
            <v>n/a</v>
          </cell>
          <cell r="AD54">
            <v>6.5000000000000002E-2</v>
          </cell>
          <cell r="AE54">
            <v>0</v>
          </cell>
        </row>
        <row r="55">
          <cell r="A55" t="str">
            <v>2015Material Handling</v>
          </cell>
          <cell r="B55" t="str">
            <v>Material Handling</v>
          </cell>
          <cell r="C55">
            <v>2.76E-2</v>
          </cell>
          <cell r="D55">
            <v>2.76E-2</v>
          </cell>
          <cell r="E55">
            <v>2.7099999999999999E-2</v>
          </cell>
          <cell r="F55">
            <v>2.7099999999999999E-2</v>
          </cell>
          <cell r="G55">
            <v>0.13020000000000001</v>
          </cell>
          <cell r="H55">
            <v>2.2599999999999999E-2</v>
          </cell>
          <cell r="I55">
            <v>4.1300000000000003E-2</v>
          </cell>
          <cell r="J55">
            <v>4.1300000000000003E-2</v>
          </cell>
          <cell r="K55">
            <v>2.1000000000000001E-2</v>
          </cell>
          <cell r="L55">
            <v>2.8000000000000001E-2</v>
          </cell>
          <cell r="M55">
            <v>2.8000000000000001E-2</v>
          </cell>
          <cell r="N55">
            <v>4.5900000000000003E-2</v>
          </cell>
          <cell r="O55">
            <v>0</v>
          </cell>
          <cell r="P55">
            <v>3.3500000000000002E-2</v>
          </cell>
          <cell r="Q55">
            <v>3.3500000000000002E-2</v>
          </cell>
          <cell r="R55">
            <v>5.3900000000000003E-2</v>
          </cell>
          <cell r="S55">
            <v>5.3900000000000003E-2</v>
          </cell>
          <cell r="T55">
            <v>3.9100000000000003E-2</v>
          </cell>
          <cell r="U55">
            <v>3.9100000000000003E-2</v>
          </cell>
          <cell r="V55">
            <v>3.9100000000000003E-2</v>
          </cell>
          <cell r="W55">
            <v>3.9100000000000003E-2</v>
          </cell>
          <cell r="X55">
            <v>3.9100000000000003E-2</v>
          </cell>
          <cell r="Y55">
            <v>3.9100000000000003E-2</v>
          </cell>
          <cell r="Z55">
            <v>3.9100000000000003E-2</v>
          </cell>
          <cell r="AA55">
            <v>3.9100000000000003E-2</v>
          </cell>
          <cell r="AB55">
            <v>3.9100000000000003E-2</v>
          </cell>
          <cell r="AC55">
            <v>3.9100000000000003E-2</v>
          </cell>
          <cell r="AD55">
            <v>3.5900000000000001E-2</v>
          </cell>
          <cell r="AE55">
            <v>0</v>
          </cell>
        </row>
        <row r="56">
          <cell r="A56" t="str">
            <v>2015G&amp;A</v>
          </cell>
          <cell r="B56" t="str">
            <v>G&amp;A</v>
          </cell>
          <cell r="C56">
            <v>8.5699999999999998E-2</v>
          </cell>
          <cell r="D56">
            <v>8.5699999999999998E-2</v>
          </cell>
          <cell r="E56">
            <v>0.11609999999999999</v>
          </cell>
          <cell r="F56">
            <v>0.11609999999999999</v>
          </cell>
          <cell r="G56">
            <v>0.13020000000000001</v>
          </cell>
          <cell r="H56">
            <v>8.6900000000000005E-2</v>
          </cell>
          <cell r="I56">
            <v>0.14319999999999999</v>
          </cell>
          <cell r="J56">
            <v>0.14319999999999999</v>
          </cell>
          <cell r="K56">
            <v>0.18529999999999999</v>
          </cell>
          <cell r="L56">
            <v>8.7099999999999997E-2</v>
          </cell>
          <cell r="M56">
            <v>8.7099999999999997E-2</v>
          </cell>
          <cell r="N56">
            <v>0.14680000000000001</v>
          </cell>
          <cell r="O56">
            <v>0.1318</v>
          </cell>
          <cell r="P56">
            <v>0.12759999999999999</v>
          </cell>
          <cell r="Q56">
            <v>0.12759999999999999</v>
          </cell>
          <cell r="R56">
            <v>0.15260000000000001</v>
          </cell>
          <cell r="S56">
            <v>0.15260000000000001</v>
          </cell>
          <cell r="T56">
            <v>0.12740000000000001</v>
          </cell>
          <cell r="U56">
            <v>0.12740000000000001</v>
          </cell>
          <cell r="V56">
            <v>0.12740000000000001</v>
          </cell>
          <cell r="W56">
            <v>0.12740000000000001</v>
          </cell>
          <cell r="X56">
            <v>0.12740000000000001</v>
          </cell>
          <cell r="Y56">
            <v>0.12740000000000001</v>
          </cell>
          <cell r="Z56">
            <v>0.12740000000000001</v>
          </cell>
          <cell r="AA56">
            <v>0.12740000000000001</v>
          </cell>
          <cell r="AB56">
            <v>0.12740000000000001</v>
          </cell>
          <cell r="AC56">
            <v>0.16500000000000001</v>
          </cell>
          <cell r="AD56">
            <v>0.13159999999999999</v>
          </cell>
          <cell r="AE56">
            <v>0</v>
          </cell>
        </row>
        <row r="57">
          <cell r="B57" t="str">
            <v>Wrap - On</v>
          </cell>
          <cell r="C57">
            <v>1.5122509016999999</v>
          </cell>
          <cell r="D57">
            <v>1.5122509016999999</v>
          </cell>
          <cell r="E57">
            <v>1.5463013030500004</v>
          </cell>
          <cell r="F57">
            <v>1.5463013030500004</v>
          </cell>
          <cell r="G57">
            <v>1.7371174</v>
          </cell>
          <cell r="H57">
            <v>1.5267706038</v>
          </cell>
          <cell r="I57" t="str">
            <v>n/a</v>
          </cell>
          <cell r="J57">
            <v>1.7472851711999997</v>
          </cell>
          <cell r="K57" t="str">
            <v>n/a</v>
          </cell>
          <cell r="L57">
            <v>1.4585256738919998</v>
          </cell>
          <cell r="M57" t="str">
            <v>n/a</v>
          </cell>
          <cell r="N57">
            <v>1.8300040930999999</v>
          </cell>
          <cell r="O57">
            <v>1.8625398791999996</v>
          </cell>
          <cell r="P57">
            <v>1.6930913999999999</v>
          </cell>
          <cell r="Q57">
            <v>1.6042928999999999</v>
          </cell>
          <cell r="R57">
            <v>1.6754135970000001</v>
          </cell>
          <cell r="S57">
            <v>2.0479800210000003</v>
          </cell>
          <cell r="T57">
            <v>1.6972302374999999</v>
          </cell>
          <cell r="U57">
            <v>1.5290362499999999</v>
          </cell>
          <cell r="V57">
            <v>1.6443867446999998</v>
          </cell>
          <cell r="W57">
            <v>1.79215421715</v>
          </cell>
          <cell r="X57">
            <v>1.6140754683</v>
          </cell>
          <cell r="Y57">
            <v>1.6659448874999998</v>
          </cell>
          <cell r="Z57">
            <v>1.5008512499999997</v>
          </cell>
          <cell r="AA57">
            <v>1.666438125</v>
          </cell>
          <cell r="AB57">
            <v>1.5848989199999999</v>
          </cell>
          <cell r="AC57" t="str">
            <v>n/a</v>
          </cell>
          <cell r="AD57">
            <v>1.6560021113999999</v>
          </cell>
          <cell r="AE57">
            <v>1</v>
          </cell>
        </row>
        <row r="58">
          <cell r="B58" t="str">
            <v>Wrap - Off</v>
          </cell>
          <cell r="C58">
            <v>1.71980037075</v>
          </cell>
          <cell r="D58">
            <v>1.5621214455000001</v>
          </cell>
          <cell r="E58">
            <v>1.8018820645000002</v>
          </cell>
          <cell r="F58">
            <v>1.9074316415000003</v>
          </cell>
          <cell r="G58">
            <v>2.0157117000000002</v>
          </cell>
          <cell r="H58">
            <v>1.6746629129999999</v>
          </cell>
          <cell r="I58">
            <v>2.0098553472000003</v>
          </cell>
          <cell r="J58">
            <v>2.2362089472000002</v>
          </cell>
          <cell r="K58">
            <v>2.38553478</v>
          </cell>
          <cell r="L58">
            <v>1.710339995952</v>
          </cell>
          <cell r="M58">
            <v>1.7619348925359997</v>
          </cell>
          <cell r="N58">
            <v>2.2341011489999998</v>
          </cell>
          <cell r="O58">
            <v>1.8625398791999996</v>
          </cell>
          <cell r="P58">
            <v>1.9670497131999998</v>
          </cell>
          <cell r="Q58">
            <v>1.8638827701999998</v>
          </cell>
          <cell r="R58">
            <v>1.9996180776000003</v>
          </cell>
          <cell r="S58" t="str">
            <v>n/a</v>
          </cell>
          <cell r="T58">
            <v>2.3385799124999997</v>
          </cell>
          <cell r="U58">
            <v>2.10682875</v>
          </cell>
          <cell r="V58">
            <v>2.2657679108999997</v>
          </cell>
          <cell r="W58">
            <v>2.2657679108999997</v>
          </cell>
          <cell r="X58">
            <v>2.2657679108999997</v>
          </cell>
          <cell r="Y58">
            <v>2.3385799124999997</v>
          </cell>
          <cell r="Z58">
            <v>2.10682875</v>
          </cell>
          <cell r="AA58">
            <v>2.10682875</v>
          </cell>
          <cell r="AB58" t="str">
            <v>n/a</v>
          </cell>
          <cell r="AC58">
            <v>2.3413337025000001</v>
          </cell>
          <cell r="AD58">
            <v>2.0214110279999997</v>
          </cell>
          <cell r="AE58">
            <v>1</v>
          </cell>
        </row>
        <row r="59">
          <cell r="B59">
            <v>2016</v>
          </cell>
        </row>
        <row r="60">
          <cell r="A60" t="str">
            <v>2016PRB</v>
          </cell>
          <cell r="B60" t="str">
            <v>PRB</v>
          </cell>
          <cell r="C60">
            <v>0.35099999999999998</v>
          </cell>
          <cell r="D60">
            <v>0.35099999999999998</v>
          </cell>
          <cell r="E60">
            <v>0.35099999999999998</v>
          </cell>
          <cell r="F60">
            <v>0.35099999999999998</v>
          </cell>
          <cell r="G60">
            <v>0.45</v>
          </cell>
          <cell r="H60">
            <v>0.38</v>
          </cell>
          <cell r="I60">
            <v>0.44</v>
          </cell>
          <cell r="J60">
            <v>0.44</v>
          </cell>
          <cell r="K60">
            <v>0.45</v>
          </cell>
          <cell r="L60">
            <v>0.31240000000000001</v>
          </cell>
          <cell r="M60">
            <v>0.42159999999999997</v>
          </cell>
          <cell r="N60">
            <v>0.47249999999999998</v>
          </cell>
          <cell r="O60">
            <v>0.43</v>
          </cell>
          <cell r="P60">
            <v>0.43</v>
          </cell>
          <cell r="Q60">
            <v>0.35499999999999998</v>
          </cell>
          <cell r="R60">
            <v>0.43</v>
          </cell>
          <cell r="S60">
            <v>0.51219999999999999</v>
          </cell>
          <cell r="T60">
            <v>0.38750000000000001</v>
          </cell>
          <cell r="U60">
            <v>0.25</v>
          </cell>
          <cell r="V60">
            <v>0.34429999999999999</v>
          </cell>
          <cell r="W60">
            <v>0.34429999999999999</v>
          </cell>
          <cell r="X60">
            <v>0.34429999999999999</v>
          </cell>
          <cell r="Y60">
            <v>0.38750000000000001</v>
          </cell>
          <cell r="Z60">
            <v>0.25</v>
          </cell>
          <cell r="AA60">
            <v>0.25</v>
          </cell>
          <cell r="AB60">
            <v>0.32</v>
          </cell>
          <cell r="AC60">
            <v>0.34429999999999999</v>
          </cell>
          <cell r="AD60">
            <v>0.37409999999999999</v>
          </cell>
          <cell r="AE60">
            <v>0</v>
          </cell>
        </row>
        <row r="61">
          <cell r="A61" t="str">
            <v>2016Overhead - Offsite</v>
          </cell>
          <cell r="B61" t="str">
            <v>Overhead - Offsite</v>
          </cell>
          <cell r="C61">
            <v>0.17249999999999999</v>
          </cell>
          <cell r="D61">
            <v>6.5000000000000002E-2</v>
          </cell>
          <cell r="E61">
            <v>0.19500000000000001</v>
          </cell>
          <cell r="F61">
            <v>0.26500000000000001</v>
          </cell>
          <cell r="G61">
            <v>0.23</v>
          </cell>
          <cell r="H61">
            <v>0.11650000000000001</v>
          </cell>
          <cell r="I61">
            <v>0.22090000000000001</v>
          </cell>
          <cell r="J61">
            <v>0.3584</v>
          </cell>
          <cell r="K61">
            <v>0.38800000000000001</v>
          </cell>
          <cell r="L61">
            <v>0.1988</v>
          </cell>
          <cell r="M61">
            <v>0.1401</v>
          </cell>
          <cell r="N61">
            <v>0.32300000000000001</v>
          </cell>
          <cell r="O61">
            <v>0.15079999999999999</v>
          </cell>
          <cell r="P61">
            <v>0.21990000000000001</v>
          </cell>
          <cell r="Q61">
            <v>0.21990000000000001</v>
          </cell>
          <cell r="R61">
            <v>0.2132</v>
          </cell>
          <cell r="S61" t="str">
            <v>n/a</v>
          </cell>
          <cell r="T61">
            <v>0.495</v>
          </cell>
          <cell r="U61">
            <v>0.495</v>
          </cell>
          <cell r="V61">
            <v>0.495</v>
          </cell>
          <cell r="W61">
            <v>0.495</v>
          </cell>
          <cell r="X61">
            <v>0.495</v>
          </cell>
          <cell r="Y61">
            <v>0.495</v>
          </cell>
          <cell r="Z61">
            <v>0.495</v>
          </cell>
          <cell r="AA61">
            <v>0.495</v>
          </cell>
          <cell r="AB61" t="str">
            <v>n/a</v>
          </cell>
          <cell r="AC61">
            <v>0.495</v>
          </cell>
          <cell r="AD61">
            <v>0.3</v>
          </cell>
          <cell r="AE61">
            <v>0</v>
          </cell>
        </row>
        <row r="62">
          <cell r="A62" t="str">
            <v>2016Overhead - Onsite</v>
          </cell>
          <cell r="B62" t="str">
            <v>Overhead - Onsite</v>
          </cell>
          <cell r="C62">
            <v>3.1E-2</v>
          </cell>
          <cell r="D62">
            <v>3.1E-2</v>
          </cell>
          <cell r="E62">
            <v>2.5499999999999998E-2</v>
          </cell>
          <cell r="F62">
            <v>2.5499999999999998E-2</v>
          </cell>
          <cell r="G62">
            <v>0.06</v>
          </cell>
          <cell r="H62">
            <v>1.7899999999999999E-2</v>
          </cell>
          <cell r="I62" t="str">
            <v>n/a</v>
          </cell>
          <cell r="J62">
            <v>6.1400000000000003E-2</v>
          </cell>
          <cell r="K62" t="str">
            <v>n/a</v>
          </cell>
          <cell r="L62">
            <v>2.23E-2</v>
          </cell>
          <cell r="M62" t="str">
            <v>n/a</v>
          </cell>
          <cell r="N62">
            <v>8.3699999999999997E-2</v>
          </cell>
          <cell r="O62">
            <v>0.15079999999999999</v>
          </cell>
          <cell r="P62">
            <v>0.05</v>
          </cell>
          <cell r="Q62">
            <v>0.05</v>
          </cell>
          <cell r="R62">
            <v>1.6500000000000001E-2</v>
          </cell>
          <cell r="S62">
            <v>0.17499999999999999</v>
          </cell>
          <cell r="T62">
            <v>8.5000000000000006E-2</v>
          </cell>
          <cell r="U62">
            <v>8.5000000000000006E-2</v>
          </cell>
          <cell r="V62">
            <v>8.5000000000000006E-2</v>
          </cell>
          <cell r="W62">
            <v>0.1825</v>
          </cell>
          <cell r="X62">
            <v>6.5000000000000002E-2</v>
          </cell>
          <cell r="Y62">
            <v>6.5000000000000002E-2</v>
          </cell>
          <cell r="Z62">
            <v>6.5000000000000002E-2</v>
          </cell>
          <cell r="AA62">
            <v>0.1825</v>
          </cell>
          <cell r="AB62">
            <v>6.5000000000000002E-2</v>
          </cell>
          <cell r="AC62" t="str">
            <v>n/a</v>
          </cell>
          <cell r="AD62">
            <v>6.5000000000000002E-2</v>
          </cell>
          <cell r="AE62">
            <v>0</v>
          </cell>
        </row>
        <row r="63">
          <cell r="A63" t="str">
            <v>2016Material Handling</v>
          </cell>
          <cell r="B63" t="str">
            <v>Material Handling</v>
          </cell>
          <cell r="C63">
            <v>2.76E-2</v>
          </cell>
          <cell r="D63">
            <v>2.76E-2</v>
          </cell>
          <cell r="E63">
            <v>2.7099999999999999E-2</v>
          </cell>
          <cell r="F63">
            <v>2.7099999999999999E-2</v>
          </cell>
          <cell r="G63">
            <v>0.13020000000000001</v>
          </cell>
          <cell r="H63">
            <v>2.2599999999999999E-2</v>
          </cell>
          <cell r="I63">
            <v>4.1300000000000003E-2</v>
          </cell>
          <cell r="J63">
            <v>4.1300000000000003E-2</v>
          </cell>
          <cell r="K63">
            <v>2.1000000000000001E-2</v>
          </cell>
          <cell r="L63">
            <v>2.8000000000000001E-2</v>
          </cell>
          <cell r="M63">
            <v>2.8000000000000001E-2</v>
          </cell>
          <cell r="N63">
            <v>4.5900000000000003E-2</v>
          </cell>
          <cell r="O63">
            <v>0</v>
          </cell>
          <cell r="P63">
            <v>3.3500000000000002E-2</v>
          </cell>
          <cell r="Q63">
            <v>3.3500000000000002E-2</v>
          </cell>
          <cell r="R63">
            <v>5.3900000000000003E-2</v>
          </cell>
          <cell r="S63">
            <v>5.3900000000000003E-2</v>
          </cell>
          <cell r="T63">
            <v>3.9100000000000003E-2</v>
          </cell>
          <cell r="U63">
            <v>3.9100000000000003E-2</v>
          </cell>
          <cell r="V63">
            <v>3.9100000000000003E-2</v>
          </cell>
          <cell r="W63">
            <v>3.9100000000000003E-2</v>
          </cell>
          <cell r="X63">
            <v>3.9100000000000003E-2</v>
          </cell>
          <cell r="Y63">
            <v>3.9100000000000003E-2</v>
          </cell>
          <cell r="Z63">
            <v>3.9100000000000003E-2</v>
          </cell>
          <cell r="AA63">
            <v>3.9100000000000003E-2</v>
          </cell>
          <cell r="AB63">
            <v>3.9100000000000003E-2</v>
          </cell>
          <cell r="AC63">
            <v>3.9100000000000003E-2</v>
          </cell>
          <cell r="AD63">
            <v>3.5900000000000001E-2</v>
          </cell>
          <cell r="AE63">
            <v>0</v>
          </cell>
        </row>
        <row r="64">
          <cell r="A64" t="str">
            <v>2016G&amp;A</v>
          </cell>
          <cell r="B64" t="str">
            <v>G&amp;A</v>
          </cell>
          <cell r="C64">
            <v>8.5699999999999998E-2</v>
          </cell>
          <cell r="D64">
            <v>8.5699999999999998E-2</v>
          </cell>
          <cell r="E64">
            <v>0.11609999999999999</v>
          </cell>
          <cell r="F64">
            <v>0.11609999999999999</v>
          </cell>
          <cell r="G64">
            <v>0.13020000000000001</v>
          </cell>
          <cell r="H64">
            <v>8.6900000000000005E-2</v>
          </cell>
          <cell r="I64">
            <v>0.14319999999999999</v>
          </cell>
          <cell r="J64">
            <v>0.14319999999999999</v>
          </cell>
          <cell r="K64">
            <v>0.18529999999999999</v>
          </cell>
          <cell r="L64">
            <v>8.7099999999999997E-2</v>
          </cell>
          <cell r="M64">
            <v>8.7099999999999997E-2</v>
          </cell>
          <cell r="N64">
            <v>0.14680000000000001</v>
          </cell>
          <cell r="O64">
            <v>0.1318</v>
          </cell>
          <cell r="P64">
            <v>0.12759999999999999</v>
          </cell>
          <cell r="Q64">
            <v>0.12759999999999999</v>
          </cell>
          <cell r="R64">
            <v>0.15260000000000001</v>
          </cell>
          <cell r="S64">
            <v>0.15260000000000001</v>
          </cell>
          <cell r="T64">
            <v>0.12740000000000001</v>
          </cell>
          <cell r="U64">
            <v>0.12740000000000001</v>
          </cell>
          <cell r="V64">
            <v>0.12740000000000001</v>
          </cell>
          <cell r="W64">
            <v>0.12740000000000001</v>
          </cell>
          <cell r="X64">
            <v>0.12740000000000001</v>
          </cell>
          <cell r="Y64">
            <v>0.12740000000000001</v>
          </cell>
          <cell r="Z64">
            <v>0.12740000000000001</v>
          </cell>
          <cell r="AA64">
            <v>0.12740000000000001</v>
          </cell>
          <cell r="AB64">
            <v>0.12740000000000001</v>
          </cell>
          <cell r="AC64">
            <v>0.16500000000000001</v>
          </cell>
          <cell r="AD64">
            <v>0.13159999999999999</v>
          </cell>
          <cell r="AE64">
            <v>0</v>
          </cell>
        </row>
        <row r="65">
          <cell r="B65" t="str">
            <v>Wrap - On</v>
          </cell>
          <cell r="C65">
            <v>1.5122509016999999</v>
          </cell>
          <cell r="D65">
            <v>1.5122509016999999</v>
          </cell>
          <cell r="E65">
            <v>1.5463013030500004</v>
          </cell>
          <cell r="F65">
            <v>1.5463013030500004</v>
          </cell>
          <cell r="G65">
            <v>1.7371174</v>
          </cell>
          <cell r="H65">
            <v>1.5267706038</v>
          </cell>
          <cell r="I65" t="str">
            <v>n/a</v>
          </cell>
          <cell r="J65">
            <v>1.7472851711999997</v>
          </cell>
          <cell r="K65" t="str">
            <v>n/a</v>
          </cell>
          <cell r="L65">
            <v>1.4585256738919998</v>
          </cell>
          <cell r="M65" t="str">
            <v>n/a</v>
          </cell>
          <cell r="N65">
            <v>1.8300040930999999</v>
          </cell>
          <cell r="O65">
            <v>1.8625398791999996</v>
          </cell>
          <cell r="P65">
            <v>1.6930913999999999</v>
          </cell>
          <cell r="Q65">
            <v>1.6042928999999999</v>
          </cell>
          <cell r="R65">
            <v>1.6754135970000001</v>
          </cell>
          <cell r="S65">
            <v>2.0479800210000003</v>
          </cell>
          <cell r="T65">
            <v>1.6972302374999999</v>
          </cell>
          <cell r="U65">
            <v>1.5290362499999999</v>
          </cell>
          <cell r="V65">
            <v>1.6443867446999998</v>
          </cell>
          <cell r="W65">
            <v>1.79215421715</v>
          </cell>
          <cell r="X65">
            <v>1.6140754683</v>
          </cell>
          <cell r="Y65">
            <v>1.6659448874999998</v>
          </cell>
          <cell r="Z65">
            <v>1.5008512499999997</v>
          </cell>
          <cell r="AA65">
            <v>1.666438125</v>
          </cell>
          <cell r="AB65">
            <v>1.5848989199999999</v>
          </cell>
          <cell r="AC65" t="str">
            <v>n/a</v>
          </cell>
          <cell r="AD65">
            <v>1.6560021113999999</v>
          </cell>
          <cell r="AE65">
            <v>1</v>
          </cell>
        </row>
        <row r="66">
          <cell r="B66" t="str">
            <v>Wrap - Off</v>
          </cell>
          <cell r="C66">
            <v>1.71980037075</v>
          </cell>
          <cell r="D66">
            <v>1.5621214455000001</v>
          </cell>
          <cell r="E66">
            <v>1.8018820645000002</v>
          </cell>
          <cell r="F66">
            <v>1.9074316415000003</v>
          </cell>
          <cell r="G66">
            <v>2.0157117000000002</v>
          </cell>
          <cell r="H66">
            <v>1.6746629129999999</v>
          </cell>
          <cell r="I66">
            <v>2.0098553472000003</v>
          </cell>
          <cell r="J66">
            <v>2.2362089472000002</v>
          </cell>
          <cell r="K66">
            <v>2.38553478</v>
          </cell>
          <cell r="L66">
            <v>1.710339995952</v>
          </cell>
          <cell r="M66">
            <v>1.7619348925359997</v>
          </cell>
          <cell r="N66">
            <v>2.2341011489999998</v>
          </cell>
          <cell r="O66">
            <v>1.8625398791999996</v>
          </cell>
          <cell r="P66">
            <v>1.9670497131999998</v>
          </cell>
          <cell r="Q66">
            <v>1.8638827701999998</v>
          </cell>
          <cell r="R66">
            <v>1.9996180776000003</v>
          </cell>
          <cell r="S66" t="str">
            <v>n/a</v>
          </cell>
          <cell r="T66">
            <v>2.3385799124999997</v>
          </cell>
          <cell r="U66">
            <v>2.10682875</v>
          </cell>
          <cell r="V66">
            <v>2.2657679108999997</v>
          </cell>
          <cell r="W66">
            <v>2.2657679108999997</v>
          </cell>
          <cell r="X66">
            <v>2.2657679108999997</v>
          </cell>
          <cell r="Y66">
            <v>2.3385799124999997</v>
          </cell>
          <cell r="Z66">
            <v>2.10682875</v>
          </cell>
          <cell r="AA66">
            <v>2.10682875</v>
          </cell>
          <cell r="AB66" t="str">
            <v>n/a</v>
          </cell>
          <cell r="AC66">
            <v>2.3413337025000001</v>
          </cell>
          <cell r="AD66">
            <v>2.0214110279999997</v>
          </cell>
          <cell r="AE66">
            <v>1</v>
          </cell>
        </row>
      </sheetData>
      <sheetData sheetId="3"/>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refreshError="1"/>
      <sheetData sheetId="15">
        <row r="8">
          <cell r="F8" t="str">
            <v>Base YearKFM Technologies</v>
          </cell>
          <cell r="G8" t="str">
            <v>Base YearConsultant</v>
          </cell>
          <cell r="H8" t="str">
            <v>Base YearSub 3</v>
          </cell>
          <cell r="I8" t="str">
            <v>Base YearSub 4</v>
          </cell>
          <cell r="J8" t="str">
            <v>Base YearSub 5</v>
          </cell>
          <cell r="K8" t="str">
            <v>Base YearSub 6</v>
          </cell>
          <cell r="L8" t="str">
            <v>Base YearSub 7</v>
          </cell>
          <cell r="M8" t="str">
            <v>Base YearSub 8</v>
          </cell>
          <cell r="N8" t="str">
            <v>Base YearSub 9</v>
          </cell>
          <cell r="O8" t="str">
            <v>Base YearSub 10</v>
          </cell>
          <cell r="P8" t="str">
            <v>Base YearSub 11</v>
          </cell>
          <cell r="Q8" t="str">
            <v>Base YearSub 12</v>
          </cell>
          <cell r="R8" t="str">
            <v>Base YearSub 13</v>
          </cell>
          <cell r="S8" t="str">
            <v>Base YearSub 14</v>
          </cell>
          <cell r="T8" t="str">
            <v>Base YearSub 15</v>
          </cell>
          <cell r="V8" t="str">
            <v>Option Year 1KFM Technologies</v>
          </cell>
          <cell r="W8" t="str">
            <v>Option Year 1Consultant</v>
          </cell>
          <cell r="X8" t="str">
            <v>Option Year 1Sub 3</v>
          </cell>
          <cell r="Y8" t="str">
            <v>Option Year 1Sub 4</v>
          </cell>
          <cell r="Z8" t="str">
            <v>Option Year 1Sub 5</v>
          </cell>
          <cell r="AA8" t="str">
            <v>Option Year 1Sub 6</v>
          </cell>
          <cell r="AB8" t="str">
            <v>Option Year 1Sub 7</v>
          </cell>
          <cell r="AC8" t="str">
            <v>Option Year 1Sub 8</v>
          </cell>
          <cell r="AD8" t="str">
            <v>Option Year 1Sub 9</v>
          </cell>
          <cell r="AE8" t="str">
            <v>Option Year 1Sub 10</v>
          </cell>
          <cell r="AF8" t="str">
            <v>Option Year 1Sub 11</v>
          </cell>
          <cell r="AG8" t="str">
            <v>Option Year 1Sub 12</v>
          </cell>
          <cell r="AH8" t="str">
            <v>Option Year 1Sub 13</v>
          </cell>
          <cell r="AI8" t="str">
            <v>Option Year 1Sub 14</v>
          </cell>
          <cell r="AJ8" t="str">
            <v>Option Year 1Sub 15</v>
          </cell>
          <cell r="AL8" t="str">
            <v>Option Year 2KFM Technologies</v>
          </cell>
          <cell r="AM8" t="str">
            <v>Option Year 2Consultant</v>
          </cell>
          <cell r="AN8" t="str">
            <v>Option Year 2Sub 3</v>
          </cell>
          <cell r="AO8" t="str">
            <v>Option Year 2Sub 4</v>
          </cell>
          <cell r="AP8" t="str">
            <v>Option Year 2Sub 5</v>
          </cell>
          <cell r="AQ8" t="str">
            <v>Option Year 2Sub 6</v>
          </cell>
          <cell r="AR8" t="str">
            <v>Option Year 2Sub 7</v>
          </cell>
          <cell r="AS8" t="str">
            <v>Option Year 2Sub 8</v>
          </cell>
          <cell r="AT8" t="str">
            <v>Option Year 2Sub 9</v>
          </cell>
          <cell r="AU8" t="str">
            <v>Option Year 2Sub 10</v>
          </cell>
          <cell r="AV8" t="str">
            <v>Option Year 2Sub 11</v>
          </cell>
          <cell r="AW8" t="str">
            <v>Option Year 2Sub 12</v>
          </cell>
          <cell r="AX8" t="str">
            <v>Option Year 2Sub 13</v>
          </cell>
          <cell r="AY8" t="str">
            <v>Option Year 2Sub 14</v>
          </cell>
          <cell r="AZ8" t="str">
            <v>Option Year 2Sub 15</v>
          </cell>
          <cell r="BB8" t="str">
            <v>Option Year 3KFM Technologies</v>
          </cell>
          <cell r="BC8" t="str">
            <v>Option Year 3Consultant</v>
          </cell>
          <cell r="BD8" t="str">
            <v>Option Year 3Sub 3</v>
          </cell>
          <cell r="BE8" t="str">
            <v>Option Year 3Sub 4</v>
          </cell>
          <cell r="BF8" t="str">
            <v>Option Year 3Sub 5</v>
          </cell>
          <cell r="BG8" t="str">
            <v>Option Year 3Sub 6</v>
          </cell>
          <cell r="BH8" t="str">
            <v>Option Year 3Sub 7</v>
          </cell>
          <cell r="BI8" t="str">
            <v>Option Year 3Sub 8</v>
          </cell>
          <cell r="BJ8" t="str">
            <v>Option Year 3Sub 9</v>
          </cell>
          <cell r="BK8" t="str">
            <v>Option Year 3Sub 10</v>
          </cell>
          <cell r="BL8" t="str">
            <v>Option Year 3Sub 11</v>
          </cell>
          <cell r="BM8" t="str">
            <v>Option Year 3Sub 12</v>
          </cell>
          <cell r="BN8" t="str">
            <v>Option Year 3Sub 13</v>
          </cell>
          <cell r="BO8" t="str">
            <v>Option Year 3Sub 14</v>
          </cell>
          <cell r="BP8" t="str">
            <v>Option Year 3Sub 15</v>
          </cell>
          <cell r="BR8" t="str">
            <v>Option Year 4KFM Technologies</v>
          </cell>
          <cell r="BS8" t="str">
            <v>Option Year 4Consultant</v>
          </cell>
          <cell r="BT8" t="str">
            <v>Option Year 4Sub 3</v>
          </cell>
          <cell r="BU8" t="str">
            <v>Option Year 4Sub 4</v>
          </cell>
          <cell r="BV8" t="str">
            <v>Option Year 4Sub 5</v>
          </cell>
          <cell r="BW8" t="str">
            <v>Option Year 4Sub 6</v>
          </cell>
          <cell r="BX8" t="str">
            <v>Option Year 4Sub 7</v>
          </cell>
          <cell r="BY8" t="str">
            <v>Option Year 4Sub 8</v>
          </cell>
          <cell r="BZ8" t="str">
            <v>Option Year 4Sub 9</v>
          </cell>
          <cell r="CA8" t="str">
            <v>Option Year 4Sub 10</v>
          </cell>
          <cell r="CB8" t="str">
            <v>Option Year 4Sub 11</v>
          </cell>
          <cell r="CC8" t="str">
            <v>Option Year 4Sub 12</v>
          </cell>
          <cell r="CD8" t="str">
            <v>Option Year 4Sub 13</v>
          </cell>
          <cell r="CE8" t="str">
            <v>Option Year 4Sub 14</v>
          </cell>
          <cell r="CF8" t="str">
            <v>Option Year 4Sub 15</v>
          </cell>
          <cell r="CH8" t="str">
            <v>Option Year 5KFM Technologies</v>
          </cell>
          <cell r="CI8" t="str">
            <v>Option Year 5Consultant</v>
          </cell>
          <cell r="CJ8" t="str">
            <v>Option Year 5Sub 3</v>
          </cell>
          <cell r="CK8" t="str">
            <v>Option Year 5Sub 4</v>
          </cell>
          <cell r="CL8" t="str">
            <v>Option Year 5Sub 5</v>
          </cell>
          <cell r="CM8" t="str">
            <v>Option Year 5Sub 6</v>
          </cell>
          <cell r="CN8" t="str">
            <v>Option Year 5Sub 7</v>
          </cell>
          <cell r="CO8" t="str">
            <v>Option Year 5Sub 8</v>
          </cell>
          <cell r="CP8" t="str">
            <v>Option Year 5Sub 9</v>
          </cell>
          <cell r="CQ8" t="str">
            <v>Option Year 5Sub 10</v>
          </cell>
          <cell r="CR8" t="str">
            <v>Option Year 5Sub 11</v>
          </cell>
          <cell r="CS8" t="str">
            <v>Option Year 5Sub 12</v>
          </cell>
          <cell r="CT8" t="str">
            <v>Option Year 5Sub 13</v>
          </cell>
          <cell r="CU8" t="str">
            <v>Option Year 5Sub 14</v>
          </cell>
          <cell r="CV8" t="str">
            <v>Option Year 5Sub 15</v>
          </cell>
          <cell r="CX8" t="str">
            <v>Option Year 6KFM Technologies</v>
          </cell>
          <cell r="CY8" t="str">
            <v>Option Year 6Consultant</v>
          </cell>
          <cell r="CZ8" t="str">
            <v>Option Year 6Sub 3</v>
          </cell>
          <cell r="DA8" t="str">
            <v>Option Year 6Sub 4</v>
          </cell>
          <cell r="DB8" t="str">
            <v>Option Year 6Sub 5</v>
          </cell>
          <cell r="DC8" t="str">
            <v>Option Year 6Sub 6</v>
          </cell>
          <cell r="DD8" t="str">
            <v>Option Year 6Sub 7</v>
          </cell>
          <cell r="DE8" t="str">
            <v>Option Year 6Sub 8</v>
          </cell>
          <cell r="DF8" t="str">
            <v>Option Year 6Sub 9</v>
          </cell>
          <cell r="DG8" t="str">
            <v>Option Year 6Sub 10</v>
          </cell>
          <cell r="DH8" t="str">
            <v>Option Year 6Sub 11</v>
          </cell>
          <cell r="DI8" t="str">
            <v>Option Year 6Sub 12</v>
          </cell>
          <cell r="DJ8" t="str">
            <v>Option Year 6Sub 13</v>
          </cell>
          <cell r="DK8" t="str">
            <v>Option Year 6Sub 14</v>
          </cell>
          <cell r="DL8" t="str">
            <v>Option Year 6Sub 15</v>
          </cell>
          <cell r="DN8" t="str">
            <v>Option Year 7KFM Technologies</v>
          </cell>
          <cell r="DO8" t="str">
            <v>Option Year 7Consultant</v>
          </cell>
          <cell r="DP8" t="str">
            <v>Option Year 7Sub 3</v>
          </cell>
          <cell r="DQ8" t="str">
            <v>Option Year 7Sub 4</v>
          </cell>
          <cell r="DR8" t="str">
            <v>Option Year 7Sub 5</v>
          </cell>
          <cell r="DS8" t="str">
            <v>Option Year 7Sub 6</v>
          </cell>
          <cell r="DT8" t="str">
            <v>Option Year 7Sub 7</v>
          </cell>
          <cell r="DU8" t="str">
            <v>Option Year 7Sub 8</v>
          </cell>
          <cell r="DV8" t="str">
            <v>Option Year 7Sub 9</v>
          </cell>
          <cell r="DW8" t="str">
            <v>Option Year 7Sub 10</v>
          </cell>
          <cell r="DX8" t="str">
            <v>Option Year 7Sub 11</v>
          </cell>
          <cell r="DY8" t="str">
            <v>Option Year 7Sub 12</v>
          </cell>
          <cell r="DZ8" t="str">
            <v>Option Year 7Sub 13</v>
          </cell>
          <cell r="EA8" t="str">
            <v>Option Year 7Sub 14</v>
          </cell>
          <cell r="EB8" t="str">
            <v>Option Year 7Sub 15</v>
          </cell>
          <cell r="ED8" t="str">
            <v>Option Year 8KFM Technologies</v>
          </cell>
          <cell r="EE8" t="str">
            <v>Option Year 8Consultant</v>
          </cell>
          <cell r="EF8" t="str">
            <v>Option Year 8Sub 3</v>
          </cell>
          <cell r="EG8" t="str">
            <v>Option Year 8Sub 4</v>
          </cell>
          <cell r="EH8" t="str">
            <v>Option Year 8Sub 5</v>
          </cell>
          <cell r="EI8" t="str">
            <v>Option Year 8Sub 6</v>
          </cell>
          <cell r="EJ8" t="str">
            <v>Option Year 8Sub 7</v>
          </cell>
          <cell r="EK8" t="str">
            <v>Option Year 8Sub 8</v>
          </cell>
          <cell r="EL8" t="str">
            <v>Option Year 8Sub 9</v>
          </cell>
          <cell r="EM8" t="str">
            <v>Option Year 8Sub 10</v>
          </cell>
          <cell r="EN8" t="str">
            <v>Option Year 8Sub 11</v>
          </cell>
          <cell r="EO8" t="str">
            <v>Option Year 8Sub 12</v>
          </cell>
          <cell r="EP8" t="str">
            <v>Option Year 8Sub 13</v>
          </cell>
          <cell r="EQ8" t="str">
            <v>Option Year 8Sub 14</v>
          </cell>
          <cell r="ER8" t="str">
            <v>Option Year 8Sub 15</v>
          </cell>
          <cell r="ET8" t="str">
            <v>Option Year 9KFM Technologies</v>
          </cell>
          <cell r="EU8" t="str">
            <v>Option Year 9Consultant</v>
          </cell>
          <cell r="EV8" t="str">
            <v>Option Year 9Sub 3</v>
          </cell>
          <cell r="EW8" t="str">
            <v>Option Year 9Sub 4</v>
          </cell>
          <cell r="EX8" t="str">
            <v>Option Year 9Sub 5</v>
          </cell>
          <cell r="EY8" t="str">
            <v>Option Year 9Sub 6</v>
          </cell>
          <cell r="EZ8" t="str">
            <v>Option Year 9Sub 7</v>
          </cell>
          <cell r="FA8" t="str">
            <v>Option Year 9Sub 8</v>
          </cell>
          <cell r="FB8" t="str">
            <v>Option Year 9Sub 9</v>
          </cell>
          <cell r="FC8" t="str">
            <v>Option Year 9Sub 10</v>
          </cell>
          <cell r="FD8" t="str">
            <v>Option Year 9Sub 11</v>
          </cell>
          <cell r="FE8" t="str">
            <v>Option Year 9Sub 12</v>
          </cell>
          <cell r="FF8" t="str">
            <v>Option Year 9Sub 13</v>
          </cell>
          <cell r="FG8" t="str">
            <v>Option Year 9Sub 14</v>
          </cell>
          <cell r="FH8" t="str">
            <v>Option Year 9Sub 15</v>
          </cell>
          <cell r="FJ8" t="str">
            <v>Option Year 10KFM Technologies</v>
          </cell>
          <cell r="FK8" t="str">
            <v>Option Year 10Consultant</v>
          </cell>
          <cell r="FL8" t="str">
            <v>Option Year 10Sub 3</v>
          </cell>
          <cell r="FM8" t="str">
            <v>Option Year 10Sub 4</v>
          </cell>
          <cell r="FN8" t="str">
            <v>Option Year 10Sub 5</v>
          </cell>
          <cell r="FO8" t="str">
            <v>Option Year 10Sub 6</v>
          </cell>
          <cell r="FP8" t="str">
            <v>Option Year 10Sub 7</v>
          </cell>
          <cell r="FQ8" t="str">
            <v>Option Year 10Sub 8</v>
          </cell>
          <cell r="FR8" t="str">
            <v>Option Year 10Sub 9</v>
          </cell>
          <cell r="FS8" t="str">
            <v>Option Year 10Sub 10</v>
          </cell>
          <cell r="FT8" t="str">
            <v>Option Year 10Sub 11</v>
          </cell>
          <cell r="FU8" t="str">
            <v>Option Year 10Sub 12</v>
          </cell>
          <cell r="FV8" t="str">
            <v>Option Year 10Sub 13</v>
          </cell>
          <cell r="FW8" t="str">
            <v>Option Year 10Sub 14</v>
          </cell>
          <cell r="FX8" t="str">
            <v>Option Year 10Sub 15</v>
          </cell>
          <cell r="FZ8" t="str">
            <v>Option Year 11KFM Technologies</v>
          </cell>
          <cell r="GA8" t="str">
            <v>Option Year 11Consultant</v>
          </cell>
          <cell r="GB8" t="str">
            <v>Option Year 11Sub 3</v>
          </cell>
          <cell r="GC8" t="str">
            <v>Option Year 11Sub 4</v>
          </cell>
          <cell r="GD8" t="str">
            <v>Option Year 11Sub 5</v>
          </cell>
          <cell r="GE8" t="str">
            <v>Option Year 11Sub 6</v>
          </cell>
          <cell r="GF8" t="str">
            <v>Option Year 11Sub 7</v>
          </cell>
          <cell r="GG8" t="str">
            <v>Option Year 11Sub 8</v>
          </cell>
          <cell r="GH8" t="str">
            <v>Option Year 11Sub 9</v>
          </cell>
          <cell r="GI8" t="str">
            <v>Option Year 11Sub 10</v>
          </cell>
          <cell r="GJ8" t="str">
            <v>Option Year 11Sub 11</v>
          </cell>
          <cell r="GK8" t="str">
            <v>Option Year 11Sub 12</v>
          </cell>
          <cell r="GL8" t="str">
            <v>Option Year 11Sub 13</v>
          </cell>
          <cell r="GM8" t="str">
            <v>Option Year 11Sub 14</v>
          </cell>
          <cell r="GN8" t="str">
            <v>Option Year 11Sub 15</v>
          </cell>
          <cell r="GP8" t="str">
            <v>Option Year 12KFM Technologies</v>
          </cell>
          <cell r="GQ8" t="str">
            <v>Option Year 12Consultant</v>
          </cell>
          <cell r="GR8" t="str">
            <v>Option Year 12Sub 3</v>
          </cell>
          <cell r="GS8" t="str">
            <v>Option Year 12Sub 4</v>
          </cell>
          <cell r="GT8" t="str">
            <v>Option Year 12Sub 5</v>
          </cell>
          <cell r="GU8" t="str">
            <v>Option Year 12Sub 6</v>
          </cell>
          <cell r="GV8" t="str">
            <v>Option Year 12Sub 7</v>
          </cell>
          <cell r="GW8" t="str">
            <v>Option Year 12Sub 8</v>
          </cell>
          <cell r="GX8" t="str">
            <v>Option Year 12Sub 9</v>
          </cell>
          <cell r="GY8" t="str">
            <v>Option Year 12Sub 10</v>
          </cell>
          <cell r="GZ8" t="str">
            <v>Option Year 12Sub 11</v>
          </cell>
          <cell r="HA8" t="str">
            <v>Option Year 12Sub 12</v>
          </cell>
          <cell r="HB8" t="str">
            <v>Option Year 12Sub 13</v>
          </cell>
          <cell r="HC8" t="str">
            <v>Option Year 12Sub 14</v>
          </cell>
          <cell r="HD8" t="str">
            <v>Option Year 12Sub 15</v>
          </cell>
          <cell r="HF8" t="str">
            <v>Option Year 13KFM Technologies</v>
          </cell>
          <cell r="HG8" t="str">
            <v>Option Year 13Consultant</v>
          </cell>
          <cell r="HH8" t="str">
            <v>Option Year 13Sub 3</v>
          </cell>
          <cell r="HI8" t="str">
            <v>Option Year 13Sub 4</v>
          </cell>
          <cell r="HJ8" t="str">
            <v>Option Year 13Sub 5</v>
          </cell>
          <cell r="HK8" t="str">
            <v>Option Year 13Sub 6</v>
          </cell>
          <cell r="HL8" t="str">
            <v>Option Year 13Sub 7</v>
          </cell>
          <cell r="HM8" t="str">
            <v>Option Year 13Sub 8</v>
          </cell>
          <cell r="HN8" t="str">
            <v>Option Year 13Sub 9</v>
          </cell>
          <cell r="HO8" t="str">
            <v>Option Year 13Sub 10</v>
          </cell>
          <cell r="HP8" t="str">
            <v>Option Year 13Sub 11</v>
          </cell>
          <cell r="HQ8" t="str">
            <v>Option Year 13Sub 12</v>
          </cell>
          <cell r="HR8" t="str">
            <v>Option Year 13Sub 13</v>
          </cell>
          <cell r="HS8" t="str">
            <v>Option Year 13Sub 14</v>
          </cell>
          <cell r="HT8" t="str">
            <v>Option Year 13Sub 15</v>
          </cell>
          <cell r="HV8" t="str">
            <v>Option Year 14KFM Technologies</v>
          </cell>
          <cell r="HW8" t="str">
            <v>Option Year 14Consultant</v>
          </cell>
          <cell r="HX8" t="str">
            <v>Option Year 14Sub 3</v>
          </cell>
          <cell r="HY8" t="str">
            <v>Option Year 14Sub 4</v>
          </cell>
          <cell r="HZ8" t="str">
            <v>Option Year 14Sub 5</v>
          </cell>
          <cell r="IA8" t="str">
            <v>Option Year 14Sub 6</v>
          </cell>
          <cell r="IB8" t="str">
            <v>Option Year 14Sub 7</v>
          </cell>
          <cell r="IC8" t="str">
            <v>Option Year 14Sub 8</v>
          </cell>
          <cell r="ID8" t="str">
            <v>Option Year 14Sub 9</v>
          </cell>
          <cell r="IE8" t="str">
            <v>Option Year 14Sub 10</v>
          </cell>
          <cell r="IF8" t="str">
            <v>Option Year 14Sub 11</v>
          </cell>
          <cell r="IG8" t="str">
            <v>Option Year 14Sub 12</v>
          </cell>
          <cell r="IH8" t="str">
            <v>Option Year 14Sub 13</v>
          </cell>
          <cell r="II8" t="str">
            <v>Option Year 14Sub 14</v>
          </cell>
          <cell r="IJ8" t="str">
            <v>Option Year 14Sub 15</v>
          </cell>
        </row>
      </sheetData>
      <sheetData sheetId="16" refreshError="1"/>
      <sheetData sheetId="17">
        <row r="11">
          <cell r="AL11" t="str">
            <v>LOOKUP TABLE - DO NOT DELETE</v>
          </cell>
        </row>
        <row r="12">
          <cell r="AL12" t="str">
            <v>Base YearISPRBContr/Govt</v>
          </cell>
          <cell r="AM12">
            <v>0.31240000000000001</v>
          </cell>
        </row>
        <row r="13">
          <cell r="AL13" t="str">
            <v>Base YearISOverheadContr</v>
          </cell>
          <cell r="AM13">
            <v>0.1988</v>
          </cell>
        </row>
        <row r="14">
          <cell r="AL14" t="str">
            <v>Base YearISOverheadGovt</v>
          </cell>
          <cell r="AM14">
            <v>2.23E-2</v>
          </cell>
        </row>
        <row r="15">
          <cell r="AL15" t="str">
            <v>Base YearISMHContr/Govt</v>
          </cell>
          <cell r="AM15">
            <v>3.0700000000000002E-2</v>
          </cell>
        </row>
        <row r="16">
          <cell r="AL16" t="str">
            <v>Base YearISG&amp;AContr/Govt</v>
          </cell>
          <cell r="AM16">
            <v>9.4700000000000006E-2</v>
          </cell>
        </row>
        <row r="17">
          <cell r="AL17" t="str">
            <v>Base YearISTBD1Contr/Govt</v>
          </cell>
          <cell r="AM17">
            <v>0</v>
          </cell>
        </row>
        <row r="18">
          <cell r="AL18" t="str">
            <v>Base YearISTBD2Contr/Govt</v>
          </cell>
          <cell r="AM18">
            <v>0</v>
          </cell>
        </row>
        <row r="19">
          <cell r="AL19" t="str">
            <v>Base YearISTBD3Contr/Govt</v>
          </cell>
          <cell r="AM19">
            <v>0</v>
          </cell>
        </row>
        <row r="24">
          <cell r="AL24" t="str">
            <v>Option Year 1ISPRBContr/Govt</v>
          </cell>
          <cell r="AM24">
            <v>0.31240000000000001</v>
          </cell>
        </row>
        <row r="25">
          <cell r="AL25" t="str">
            <v>Option Year 1ISOverheadContr</v>
          </cell>
          <cell r="AM25">
            <v>0.1988</v>
          </cell>
        </row>
        <row r="26">
          <cell r="AL26" t="str">
            <v>Option Year 1ISOverheadGovt</v>
          </cell>
          <cell r="AM26">
            <v>2.23E-2</v>
          </cell>
        </row>
        <row r="27">
          <cell r="AL27" t="str">
            <v>Option Year 1ISMHContr/Govt</v>
          </cell>
          <cell r="AM27">
            <v>2.9700000000000001E-2</v>
          </cell>
        </row>
        <row r="28">
          <cell r="AL28" t="str">
            <v>Option Year 1ISG&amp;AContr/Govt</v>
          </cell>
          <cell r="AM28">
            <v>9.1999999999999998E-2</v>
          </cell>
        </row>
        <row r="29">
          <cell r="AL29" t="str">
            <v>Option Year 1ISTBD1Contr/Govt</v>
          </cell>
          <cell r="AM29">
            <v>0</v>
          </cell>
        </row>
        <row r="30">
          <cell r="AL30" t="str">
            <v>Option Year 1ISTBD2Contr/Govt</v>
          </cell>
          <cell r="AM30">
            <v>0</v>
          </cell>
        </row>
        <row r="31">
          <cell r="AL31" t="str">
            <v>Option Year 1ISTBD3Contr/Govt</v>
          </cell>
          <cell r="AM31">
            <v>0</v>
          </cell>
        </row>
        <row r="36">
          <cell r="AL36" t="str">
            <v>Option Year 2ISPRBContr/Govt</v>
          </cell>
          <cell r="AM36">
            <v>0.31240000000000001</v>
          </cell>
        </row>
        <row r="37">
          <cell r="AL37" t="str">
            <v>Option Year 2ISOverheadContr</v>
          </cell>
          <cell r="AM37">
            <v>0.1988</v>
          </cell>
        </row>
        <row r="38">
          <cell r="AL38" t="str">
            <v>Option Year 2ISOverheadGovt</v>
          </cell>
          <cell r="AM38">
            <v>2.23E-2</v>
          </cell>
        </row>
        <row r="39">
          <cell r="AL39" t="str">
            <v>Option Year 2ISMHContr/Govt</v>
          </cell>
          <cell r="AM39">
            <v>2.8799999999999999E-2</v>
          </cell>
        </row>
        <row r="40">
          <cell r="AL40" t="str">
            <v>Option Year 2ISG&amp;AContr/Govt</v>
          </cell>
          <cell r="AM40">
            <v>8.9499999999999996E-2</v>
          </cell>
        </row>
        <row r="41">
          <cell r="AL41" t="str">
            <v>Option Year 2ISTBD1Contr/Govt</v>
          </cell>
          <cell r="AM41">
            <v>0</v>
          </cell>
        </row>
        <row r="42">
          <cell r="AL42" t="str">
            <v>Option Year 2ISTBD2Contr/Govt</v>
          </cell>
          <cell r="AM42">
            <v>0</v>
          </cell>
        </row>
        <row r="43">
          <cell r="AL43" t="str">
            <v>Option Year 2ISTBD3Contr/Govt</v>
          </cell>
          <cell r="AM43">
            <v>0</v>
          </cell>
        </row>
        <row r="48">
          <cell r="AL48" t="str">
            <v>Option Year 3ISPRBContr/Govt</v>
          </cell>
          <cell r="AM48">
            <v>0.31240000000000001</v>
          </cell>
        </row>
        <row r="49">
          <cell r="AL49" t="str">
            <v>Option Year 3ISOverheadContr</v>
          </cell>
          <cell r="AM49">
            <v>0.1988</v>
          </cell>
        </row>
        <row r="50">
          <cell r="AL50" t="str">
            <v>Option Year 3ISOverheadGovt</v>
          </cell>
          <cell r="AM50">
            <v>2.23E-2</v>
          </cell>
        </row>
        <row r="51">
          <cell r="AL51" t="str">
            <v>Option Year 3ISMHContr/Govt</v>
          </cell>
          <cell r="AM51">
            <v>2.8000000000000001E-2</v>
          </cell>
        </row>
        <row r="52">
          <cell r="AL52" t="str">
            <v>Option Year 3ISG&amp;AContr/Govt</v>
          </cell>
          <cell r="AM52">
            <v>8.7099999999999997E-2</v>
          </cell>
        </row>
        <row r="53">
          <cell r="AL53" t="str">
            <v>Option Year 3ISTBD1Contr/Govt</v>
          </cell>
          <cell r="AM53">
            <v>0</v>
          </cell>
        </row>
        <row r="54">
          <cell r="AL54" t="str">
            <v>Option Year 3ISTBD2Contr/Govt</v>
          </cell>
          <cell r="AM54">
            <v>0</v>
          </cell>
        </row>
        <row r="55">
          <cell r="AL55" t="str">
            <v>Option Year 3ISTBD3Contr/Govt</v>
          </cell>
          <cell r="AM55">
            <v>0</v>
          </cell>
        </row>
        <row r="60">
          <cell r="AL60" t="str">
            <v>Option Year 4ISPRBContr/Govt</v>
          </cell>
          <cell r="AM60">
            <v>0.31240000000000001</v>
          </cell>
        </row>
        <row r="61">
          <cell r="AL61" t="str">
            <v>Option Year 4ISOverheadContr</v>
          </cell>
          <cell r="AM61">
            <v>0.1988</v>
          </cell>
        </row>
        <row r="62">
          <cell r="AL62" t="str">
            <v>Option Year 4ISOverheadGovt</v>
          </cell>
          <cell r="AM62">
            <v>2.23E-2</v>
          </cell>
        </row>
        <row r="63">
          <cell r="AL63" t="str">
            <v>Option Year 4ISMHContr/Govt</v>
          </cell>
          <cell r="AM63">
            <v>2.8000000000000001E-2</v>
          </cell>
        </row>
        <row r="64">
          <cell r="AL64" t="str">
            <v>Option Year 4ISG&amp;AContr/Govt</v>
          </cell>
          <cell r="AM64">
            <v>8.7099999999999997E-2</v>
          </cell>
        </row>
        <row r="65">
          <cell r="AL65" t="str">
            <v>Option Year 4ISTBD1Contr/Govt</v>
          </cell>
          <cell r="AM65">
            <v>0</v>
          </cell>
        </row>
        <row r="66">
          <cell r="AL66" t="str">
            <v>Option Year 4ISTBD2Contr/Govt</v>
          </cell>
          <cell r="AM66">
            <v>0</v>
          </cell>
        </row>
        <row r="67">
          <cell r="AL67" t="str">
            <v>Option Year 4ISTBD3Contr/Govt</v>
          </cell>
          <cell r="AM67">
            <v>0</v>
          </cell>
        </row>
        <row r="72">
          <cell r="AL72" t="str">
            <v>Option Year 5ISPRBContr/Govt</v>
          </cell>
          <cell r="AM72">
            <v>0.31240000000000001</v>
          </cell>
        </row>
        <row r="73">
          <cell r="AL73" t="str">
            <v>Option Year 5ISOverheadContr</v>
          </cell>
          <cell r="AM73">
            <v>0.1988</v>
          </cell>
        </row>
        <row r="74">
          <cell r="AL74" t="str">
            <v>Option Year 5ISOverheadGovt</v>
          </cell>
          <cell r="AM74">
            <v>2.23E-2</v>
          </cell>
        </row>
        <row r="75">
          <cell r="AL75" t="str">
            <v>Option Year 5ISMHContr/Govt</v>
          </cell>
          <cell r="AM75">
            <v>2.8000000000000001E-2</v>
          </cell>
        </row>
        <row r="76">
          <cell r="AL76" t="str">
            <v>Option Year 5ISG&amp;AContr/Govt</v>
          </cell>
          <cell r="AM76">
            <v>8.7099999999999997E-2</v>
          </cell>
        </row>
        <row r="77">
          <cell r="AL77" t="str">
            <v>Option Year 5ISTBD1Contr/Govt</v>
          </cell>
          <cell r="AM77">
            <v>0</v>
          </cell>
        </row>
        <row r="78">
          <cell r="AL78" t="str">
            <v>Option Year 5ISTBD2Contr/Govt</v>
          </cell>
          <cell r="AM78">
            <v>0</v>
          </cell>
        </row>
        <row r="79">
          <cell r="AL79" t="str">
            <v>Option Year 5ISTBD3Contr/Govt</v>
          </cell>
          <cell r="AM79">
            <v>0</v>
          </cell>
        </row>
        <row r="84">
          <cell r="AL84" t="str">
            <v>Option Year 6ISPRBContr/Govt</v>
          </cell>
          <cell r="AM84">
            <v>0.31240000000000001</v>
          </cell>
        </row>
        <row r="85">
          <cell r="AL85" t="str">
            <v>Option Year 6ISOverheadContr</v>
          </cell>
          <cell r="AM85">
            <v>0.1988</v>
          </cell>
        </row>
        <row r="86">
          <cell r="AL86" t="str">
            <v>Option Year 6ISOverheadGovt</v>
          </cell>
          <cell r="AM86">
            <v>2.23E-2</v>
          </cell>
        </row>
        <row r="87">
          <cell r="AL87" t="str">
            <v>Option Year 6ISMHContr/Govt</v>
          </cell>
          <cell r="AM87">
            <v>2.8000000000000001E-2</v>
          </cell>
        </row>
        <row r="88">
          <cell r="AL88" t="str">
            <v>Option Year 6ISG&amp;AContr/Govt</v>
          </cell>
          <cell r="AM88">
            <v>8.7099999999999997E-2</v>
          </cell>
        </row>
        <row r="89">
          <cell r="AL89" t="str">
            <v>Option Year 6ISTBD1Contr/Govt</v>
          </cell>
          <cell r="AM89">
            <v>0</v>
          </cell>
        </row>
        <row r="90">
          <cell r="AL90" t="str">
            <v>Option Year 6ISTBD2Contr/Govt</v>
          </cell>
          <cell r="AM90">
            <v>0</v>
          </cell>
        </row>
        <row r="91">
          <cell r="AL91" t="str">
            <v>Option Year 6ISTBD3Contr/Govt</v>
          </cell>
          <cell r="AM91">
            <v>0</v>
          </cell>
        </row>
        <row r="96">
          <cell r="AL96" t="str">
            <v>Option Year 7ISPRBContr/Govt</v>
          </cell>
          <cell r="AM96">
            <v>0.31240000000000001</v>
          </cell>
        </row>
        <row r="97">
          <cell r="AL97" t="str">
            <v>Option Year 7ISOverheadContr</v>
          </cell>
          <cell r="AM97">
            <v>0.1988</v>
          </cell>
        </row>
        <row r="98">
          <cell r="AL98" t="str">
            <v>Option Year 7ISOverheadGovt</v>
          </cell>
          <cell r="AM98">
            <v>2.23E-2</v>
          </cell>
        </row>
        <row r="99">
          <cell r="AL99" t="str">
            <v>Option Year 7ISMHContr/Govt</v>
          </cell>
          <cell r="AM99">
            <v>2.8000000000000001E-2</v>
          </cell>
        </row>
        <row r="100">
          <cell r="AL100" t="str">
            <v>Option Year 7ISG&amp;AContr/Govt</v>
          </cell>
          <cell r="AM100">
            <v>8.7099999999999997E-2</v>
          </cell>
        </row>
        <row r="101">
          <cell r="AL101" t="str">
            <v>Option Year 7ISTBD1Contr/Govt</v>
          </cell>
          <cell r="AM101">
            <v>0</v>
          </cell>
        </row>
        <row r="102">
          <cell r="AL102" t="str">
            <v>Option Year 7ISTBD2Contr/Govt</v>
          </cell>
          <cell r="AM102">
            <v>0</v>
          </cell>
        </row>
        <row r="103">
          <cell r="AL103" t="str">
            <v>Option Year 7ISTBD3Contr/Govt</v>
          </cell>
          <cell r="AM103">
            <v>0</v>
          </cell>
        </row>
        <row r="108">
          <cell r="AL108" t="str">
            <v>Option Year 8ISPRBContr/Govt</v>
          </cell>
          <cell r="AM108">
            <v>0.31240000000000001</v>
          </cell>
        </row>
        <row r="109">
          <cell r="AL109" t="str">
            <v>Option Year 8ISOverheadContr</v>
          </cell>
          <cell r="AM109">
            <v>0.1988</v>
          </cell>
        </row>
        <row r="110">
          <cell r="AL110" t="str">
            <v>Option Year 8ISOverheadGovt</v>
          </cell>
          <cell r="AM110">
            <v>2.23E-2</v>
          </cell>
        </row>
        <row r="111">
          <cell r="AL111" t="str">
            <v>Option Year 8ISMHContr/Govt</v>
          </cell>
          <cell r="AM111">
            <v>2.8000000000000001E-2</v>
          </cell>
        </row>
        <row r="112">
          <cell r="AL112" t="str">
            <v>Option Year 8ISG&amp;AContr/Govt</v>
          </cell>
          <cell r="AM112">
            <v>8.7099999999999997E-2</v>
          </cell>
        </row>
        <row r="113">
          <cell r="AL113" t="str">
            <v>Option Year 8ISTBD1Contr/Govt</v>
          </cell>
          <cell r="AM113">
            <v>0</v>
          </cell>
        </row>
        <row r="114">
          <cell r="AL114" t="str">
            <v>Option Year 8ISTBD2Contr/Govt</v>
          </cell>
          <cell r="AM114">
            <v>0</v>
          </cell>
        </row>
        <row r="115">
          <cell r="AL115" t="str">
            <v>Option Year 8ISTBD3Contr/Govt</v>
          </cell>
          <cell r="AM115">
            <v>0</v>
          </cell>
        </row>
        <row r="120">
          <cell r="AL120" t="str">
            <v>Option Year 9ISPRBContr/Govt</v>
          </cell>
          <cell r="AM120">
            <v>0.31240000000000001</v>
          </cell>
        </row>
        <row r="121">
          <cell r="AL121" t="str">
            <v>Option Year 9ISOverheadContr</v>
          </cell>
          <cell r="AM121">
            <v>0.1988</v>
          </cell>
        </row>
        <row r="122">
          <cell r="AL122" t="str">
            <v>Option Year 9ISOverheadGovt</v>
          </cell>
          <cell r="AM122">
            <v>2.23E-2</v>
          </cell>
        </row>
        <row r="123">
          <cell r="AL123" t="str">
            <v>Option Year 9ISMHContr/Govt</v>
          </cell>
          <cell r="AM123">
            <v>2.8000000000000001E-2</v>
          </cell>
        </row>
        <row r="124">
          <cell r="AL124" t="str">
            <v>Option Year 9ISG&amp;AContr/Govt</v>
          </cell>
          <cell r="AM124">
            <v>8.7099999999999997E-2</v>
          </cell>
        </row>
        <row r="125">
          <cell r="AL125" t="str">
            <v>Option Year 9ISTBD1Contr/Govt</v>
          </cell>
          <cell r="AM125">
            <v>0</v>
          </cell>
        </row>
        <row r="126">
          <cell r="AL126" t="str">
            <v>Option Year 9ISTBD2Contr/Govt</v>
          </cell>
          <cell r="AM126">
            <v>0</v>
          </cell>
        </row>
        <row r="127">
          <cell r="AL127" t="str">
            <v>Option Year 9ISTBD3Contr/Govt</v>
          </cell>
          <cell r="AM127">
            <v>0</v>
          </cell>
        </row>
        <row r="132">
          <cell r="AL132" t="str">
            <v>Option Year 10ISPRBContr/Govt</v>
          </cell>
          <cell r="AM132">
            <v>0.31240000000000001</v>
          </cell>
        </row>
        <row r="133">
          <cell r="AL133" t="str">
            <v>Option Year 10ISOverheadContr</v>
          </cell>
          <cell r="AM133">
            <v>0.1988</v>
          </cell>
        </row>
        <row r="134">
          <cell r="AL134" t="str">
            <v>Option Year 10ISOverheadGovt</v>
          </cell>
          <cell r="AM134">
            <v>2.23E-2</v>
          </cell>
        </row>
        <row r="135">
          <cell r="AL135" t="str">
            <v>Option Year 10ISMHContr/Govt</v>
          </cell>
          <cell r="AM135">
            <v>2.8000000000000001E-2</v>
          </cell>
        </row>
        <row r="136">
          <cell r="AL136" t="str">
            <v>Option Year 10ISG&amp;AContr/Govt</v>
          </cell>
          <cell r="AM136">
            <v>8.7099999999999997E-2</v>
          </cell>
        </row>
        <row r="137">
          <cell r="AL137" t="str">
            <v>Option Year 10ISTBD1Contr/Govt</v>
          </cell>
          <cell r="AM137">
            <v>0</v>
          </cell>
        </row>
        <row r="138">
          <cell r="AL138" t="str">
            <v>Option Year 10ISTBD2Contr/Govt</v>
          </cell>
          <cell r="AM138">
            <v>0</v>
          </cell>
        </row>
        <row r="139">
          <cell r="AL139" t="str">
            <v>Option Year 10ISTBD3Contr/Govt</v>
          </cell>
          <cell r="AM139">
            <v>0</v>
          </cell>
        </row>
        <row r="144">
          <cell r="AL144" t="str">
            <v>Option Year 11ISPRBContr/Govt</v>
          </cell>
          <cell r="AM144">
            <v>0.31240000000000001</v>
          </cell>
        </row>
        <row r="145">
          <cell r="AL145" t="str">
            <v>Option Year 11ISOverheadContr</v>
          </cell>
          <cell r="AM145">
            <v>0.1988</v>
          </cell>
        </row>
        <row r="146">
          <cell r="AL146" t="str">
            <v>Option Year 11ISOverheadGovt</v>
          </cell>
          <cell r="AM146">
            <v>2.23E-2</v>
          </cell>
        </row>
        <row r="147">
          <cell r="AL147" t="str">
            <v>Option Year 11ISMHContr/Govt</v>
          </cell>
          <cell r="AM147">
            <v>2.8000000000000001E-2</v>
          </cell>
        </row>
        <row r="148">
          <cell r="AL148" t="str">
            <v>Option Year 11ISG&amp;AContr/Govt</v>
          </cell>
          <cell r="AM148">
            <v>8.7099999999999997E-2</v>
          </cell>
        </row>
        <row r="149">
          <cell r="AL149" t="str">
            <v>Option Year 11ISTBD1Contr/Govt</v>
          </cell>
          <cell r="AM149">
            <v>0</v>
          </cell>
        </row>
        <row r="150">
          <cell r="AL150" t="str">
            <v>Option Year 11ISTBD2Contr/Govt</v>
          </cell>
          <cell r="AM150">
            <v>0</v>
          </cell>
        </row>
        <row r="151">
          <cell r="AL151" t="str">
            <v>Option Year 11ISTBD3Contr/Govt</v>
          </cell>
          <cell r="AM151">
            <v>0</v>
          </cell>
        </row>
        <row r="156">
          <cell r="AL156" t="str">
            <v>Option Year 12ISPRBContr/Govt</v>
          </cell>
          <cell r="AM156">
            <v>0.31240000000000001</v>
          </cell>
        </row>
        <row r="157">
          <cell r="AL157" t="str">
            <v>Option Year 12ISOverheadContr</v>
          </cell>
          <cell r="AM157">
            <v>0.1988</v>
          </cell>
        </row>
        <row r="158">
          <cell r="AL158" t="str">
            <v>Option Year 12ISOverheadGovt</v>
          </cell>
          <cell r="AM158">
            <v>2.23E-2</v>
          </cell>
        </row>
        <row r="159">
          <cell r="AL159" t="str">
            <v>Option Year 12ISMHContr/Govt</v>
          </cell>
          <cell r="AM159">
            <v>2.8000000000000001E-2</v>
          </cell>
        </row>
        <row r="160">
          <cell r="AL160" t="str">
            <v>Option Year 12ISG&amp;AContr/Govt</v>
          </cell>
          <cell r="AM160">
            <v>8.7099999999999997E-2</v>
          </cell>
        </row>
        <row r="161">
          <cell r="AL161" t="str">
            <v>Option Year 12ISTBD1Contr/Govt</v>
          </cell>
          <cell r="AM161">
            <v>0</v>
          </cell>
        </row>
        <row r="162">
          <cell r="AL162" t="str">
            <v>Option Year 12ISTBD2Contr/Govt</v>
          </cell>
          <cell r="AM162">
            <v>0</v>
          </cell>
        </row>
        <row r="163">
          <cell r="AL163" t="str">
            <v>Option Year 12ISTBD3Contr/Govt</v>
          </cell>
          <cell r="AM163">
            <v>0</v>
          </cell>
        </row>
        <row r="168">
          <cell r="AL168" t="str">
            <v>Option Year 13ISPRBContr/Govt</v>
          </cell>
          <cell r="AM168" t="e">
            <v>#DIV/0!</v>
          </cell>
        </row>
        <row r="169">
          <cell r="AL169" t="str">
            <v>Option Year 13ISOverheadContr</v>
          </cell>
          <cell r="AM169" t="e">
            <v>#DIV/0!</v>
          </cell>
        </row>
        <row r="170">
          <cell r="AL170" t="str">
            <v>Option Year 13ISOverheadGovt</v>
          </cell>
          <cell r="AM170" t="e">
            <v>#DIV/0!</v>
          </cell>
        </row>
        <row r="171">
          <cell r="AL171" t="str">
            <v>Option Year 13ISMHContr/Govt</v>
          </cell>
          <cell r="AM171" t="e">
            <v>#DIV/0!</v>
          </cell>
        </row>
        <row r="172">
          <cell r="AL172" t="str">
            <v>Option Year 13ISG&amp;AContr/Govt</v>
          </cell>
          <cell r="AM172" t="e">
            <v>#DIV/0!</v>
          </cell>
        </row>
        <row r="173">
          <cell r="AL173" t="str">
            <v>Option Year 13ISTBD1Contr/Govt</v>
          </cell>
          <cell r="AM173" t="e">
            <v>#DIV/0!</v>
          </cell>
        </row>
        <row r="174">
          <cell r="AL174" t="str">
            <v>Option Year 13ISTBD2Contr/Govt</v>
          </cell>
          <cell r="AM174" t="e">
            <v>#DIV/0!</v>
          </cell>
        </row>
        <row r="175">
          <cell r="AL175" t="str">
            <v>Option Year 13ISTBD3Contr/Govt</v>
          </cell>
          <cell r="AM175" t="e">
            <v>#DIV/0!</v>
          </cell>
        </row>
        <row r="180">
          <cell r="AL180" t="str">
            <v>Option Year 14ISPRBContr/Govt</v>
          </cell>
          <cell r="AM180" t="e">
            <v>#DIV/0!</v>
          </cell>
        </row>
        <row r="181">
          <cell r="AL181" t="str">
            <v>Option Year 14ISOverheadContr</v>
          </cell>
          <cell r="AM181" t="e">
            <v>#DIV/0!</v>
          </cell>
        </row>
        <row r="182">
          <cell r="AL182" t="str">
            <v>Option Year 14ISOverheadGovt</v>
          </cell>
          <cell r="AM182" t="e">
            <v>#DIV/0!</v>
          </cell>
        </row>
        <row r="183">
          <cell r="AL183" t="str">
            <v>Option Year 14ISMHContr/Govt</v>
          </cell>
          <cell r="AM183" t="e">
            <v>#DIV/0!</v>
          </cell>
        </row>
        <row r="184">
          <cell r="AL184" t="str">
            <v>Option Year 14ISG&amp;AContr/Govt</v>
          </cell>
          <cell r="AM184" t="e">
            <v>#DIV/0!</v>
          </cell>
        </row>
        <row r="185">
          <cell r="AL185" t="str">
            <v>Option Year 14ISTBD1Contr/Govt</v>
          </cell>
          <cell r="AM185" t="e">
            <v>#DIV/0!</v>
          </cell>
        </row>
        <row r="186">
          <cell r="AL186" t="str">
            <v>Option Year 14ISTBD2Contr/Govt</v>
          </cell>
          <cell r="AM186" t="e">
            <v>#DIV/0!</v>
          </cell>
        </row>
        <row r="187">
          <cell r="AL187" t="str">
            <v>Option Year 14ISTBD3Contr/Govt</v>
          </cell>
          <cell r="AM187" t="e">
            <v>#DIV/0!</v>
          </cell>
        </row>
        <row r="193">
          <cell r="AL193" t="str">
            <v>LOOKUP TABLE - DO NOT DELETE</v>
          </cell>
        </row>
        <row r="194">
          <cell r="AL194" t="str">
            <v>Base YearESDPRBContr/Govt</v>
          </cell>
          <cell r="AM194">
            <v>0.35099999999999998</v>
          </cell>
        </row>
        <row r="195">
          <cell r="AL195" t="str">
            <v>Base YearESDOverheadContr</v>
          </cell>
          <cell r="AM195">
            <v>0.17249999999999999</v>
          </cell>
        </row>
        <row r="196">
          <cell r="AL196" t="str">
            <v>Base YearESDOverheadGovt</v>
          </cell>
          <cell r="AM196">
            <v>3.1E-2</v>
          </cell>
        </row>
        <row r="197">
          <cell r="AL197" t="str">
            <v>Base YearESDMHContr/Govt</v>
          </cell>
          <cell r="AM197">
            <v>3.0300000000000001E-2</v>
          </cell>
        </row>
        <row r="198">
          <cell r="AL198" t="str">
            <v>Base YearESDG&amp;AContr/Govt</v>
          </cell>
          <cell r="AM198">
            <v>9.3100000000000002E-2</v>
          </cell>
        </row>
        <row r="199">
          <cell r="AL199" t="str">
            <v>Base YearESDTBD1Contr/Govt</v>
          </cell>
          <cell r="AM199">
            <v>0</v>
          </cell>
        </row>
        <row r="200">
          <cell r="AL200" t="str">
            <v>Base YearESDTBD2Contr/Govt</v>
          </cell>
          <cell r="AM200">
            <v>0</v>
          </cell>
        </row>
        <row r="201">
          <cell r="AL201" t="str">
            <v>Base YearESDTBD3Contr/Govt</v>
          </cell>
          <cell r="AM201">
            <v>0</v>
          </cell>
        </row>
        <row r="206">
          <cell r="AL206" t="str">
            <v>Option Year 1ESDPRBContr/Govt</v>
          </cell>
          <cell r="AM206">
            <v>0.35099999999999998</v>
          </cell>
        </row>
        <row r="207">
          <cell r="AL207" t="str">
            <v>Option Year 1ESDOverheadContr</v>
          </cell>
          <cell r="AM207">
            <v>0.17249999999999999</v>
          </cell>
        </row>
        <row r="208">
          <cell r="AL208" t="str">
            <v>Option Year 1ESDOverheadGovt</v>
          </cell>
          <cell r="AM208">
            <v>3.1E-2</v>
          </cell>
        </row>
        <row r="209">
          <cell r="AL209" t="str">
            <v>Option Year 1ESDMHContr/Govt</v>
          </cell>
          <cell r="AM209">
            <v>2.93E-2</v>
          </cell>
        </row>
        <row r="210">
          <cell r="AL210" t="str">
            <v>Option Year 1ESDG&amp;AContr/Govt</v>
          </cell>
          <cell r="AM210">
            <v>9.0499999999999997E-2</v>
          </cell>
        </row>
        <row r="211">
          <cell r="AL211" t="str">
            <v>Option Year 1ESDTBD1Contr/Govt</v>
          </cell>
          <cell r="AM211">
            <v>0</v>
          </cell>
        </row>
        <row r="212">
          <cell r="AL212" t="str">
            <v>Option Year 1ESDTBD2Contr/Govt</v>
          </cell>
          <cell r="AM212">
            <v>0</v>
          </cell>
        </row>
        <row r="213">
          <cell r="AL213" t="str">
            <v>Option Year 1ESDTBD3Contr/Govt</v>
          </cell>
          <cell r="AM213">
            <v>0</v>
          </cell>
        </row>
        <row r="218">
          <cell r="AL218" t="str">
            <v>Option Year 2ESDPRBContr/Govt</v>
          </cell>
          <cell r="AM218">
            <v>0.35099999999999998</v>
          </cell>
        </row>
        <row r="219">
          <cell r="AL219" t="str">
            <v>Option Year 2ESDOverheadContr</v>
          </cell>
          <cell r="AM219">
            <v>0.17249999999999999</v>
          </cell>
        </row>
        <row r="220">
          <cell r="AL220" t="str">
            <v>Option Year 2ESDOverheadGovt</v>
          </cell>
          <cell r="AM220">
            <v>3.1E-2</v>
          </cell>
        </row>
        <row r="221">
          <cell r="AL221" t="str">
            <v>Option Year 2ESDMHContr/Govt</v>
          </cell>
          <cell r="AM221">
            <v>2.8400000000000002E-2</v>
          </cell>
        </row>
        <row r="222">
          <cell r="AL222" t="str">
            <v>Option Year 2ESDG&amp;AContr/Govt</v>
          </cell>
          <cell r="AM222">
            <v>8.7999999999999995E-2</v>
          </cell>
        </row>
        <row r="223">
          <cell r="AL223" t="str">
            <v>Option Year 2ESDTBD1Contr/Govt</v>
          </cell>
          <cell r="AM223">
            <v>0</v>
          </cell>
        </row>
        <row r="224">
          <cell r="AL224" t="str">
            <v>Option Year 2ESDTBD2Contr/Govt</v>
          </cell>
          <cell r="AM224">
            <v>0</v>
          </cell>
        </row>
        <row r="225">
          <cell r="AL225" t="str">
            <v>Option Year 2ESDTBD3Contr/Govt</v>
          </cell>
          <cell r="AM225">
            <v>0</v>
          </cell>
        </row>
        <row r="230">
          <cell r="AL230" t="str">
            <v>Option Year 3ESDPRBContr/Govt</v>
          </cell>
          <cell r="AM230">
            <v>0.35099999999999998</v>
          </cell>
        </row>
        <row r="231">
          <cell r="AL231" t="str">
            <v>Option Year 3ESDOverheadContr</v>
          </cell>
          <cell r="AM231">
            <v>0.17249999999999999</v>
          </cell>
        </row>
        <row r="232">
          <cell r="AL232" t="str">
            <v>Option Year 3ESDOverheadGovt</v>
          </cell>
          <cell r="AM232">
            <v>3.1E-2</v>
          </cell>
        </row>
        <row r="233">
          <cell r="AL233" t="str">
            <v>Option Year 3ESDMHContr/Govt</v>
          </cell>
          <cell r="AM233">
            <v>2.76E-2</v>
          </cell>
        </row>
        <row r="234">
          <cell r="AL234" t="str">
            <v>Option Year 3ESDG&amp;AContr/Govt</v>
          </cell>
          <cell r="AM234">
            <v>8.5699999999999998E-2</v>
          </cell>
        </row>
        <row r="235">
          <cell r="AL235" t="str">
            <v>Option Year 3ESDTBD1Contr/Govt</v>
          </cell>
          <cell r="AM235">
            <v>0</v>
          </cell>
        </row>
        <row r="236">
          <cell r="AL236" t="str">
            <v>Option Year 3ESDTBD2Contr/Govt</v>
          </cell>
          <cell r="AM236">
            <v>0</v>
          </cell>
        </row>
        <row r="237">
          <cell r="AL237" t="str">
            <v>Option Year 3ESDTBD3Contr/Govt</v>
          </cell>
          <cell r="AM237">
            <v>0</v>
          </cell>
        </row>
        <row r="242">
          <cell r="AL242" t="str">
            <v>Option Year 4ESDPRBContr/Govt</v>
          </cell>
          <cell r="AM242">
            <v>0.35099999999999998</v>
          </cell>
        </row>
        <row r="243">
          <cell r="AL243" t="str">
            <v>Option Year 4ESDOverheadContr</v>
          </cell>
          <cell r="AM243">
            <v>0.17249999999999999</v>
          </cell>
        </row>
        <row r="244">
          <cell r="AL244" t="str">
            <v>Option Year 4ESDOverheadGovt</v>
          </cell>
          <cell r="AM244">
            <v>3.1E-2</v>
          </cell>
        </row>
        <row r="245">
          <cell r="AL245" t="str">
            <v>Option Year 4ESDMHContr/Govt</v>
          </cell>
          <cell r="AM245">
            <v>2.76E-2</v>
          </cell>
        </row>
        <row r="246">
          <cell r="AL246" t="str">
            <v>Option Year 4ESDG&amp;AContr/Govt</v>
          </cell>
          <cell r="AM246">
            <v>8.5699999999999998E-2</v>
          </cell>
        </row>
        <row r="247">
          <cell r="AL247" t="str">
            <v>Option Year 4ESDTBD1Contr/Govt</v>
          </cell>
          <cell r="AM247">
            <v>0</v>
          </cell>
        </row>
        <row r="248">
          <cell r="AL248" t="str">
            <v>Option Year 4ESDTBD2Contr/Govt</v>
          </cell>
          <cell r="AM248">
            <v>0</v>
          </cell>
        </row>
        <row r="249">
          <cell r="AL249" t="str">
            <v>Option Year 4ESDTBD3Contr/Govt</v>
          </cell>
          <cell r="AM249">
            <v>0</v>
          </cell>
        </row>
        <row r="254">
          <cell r="AL254" t="str">
            <v>Option Year 5ESDPRBContr/Govt</v>
          </cell>
          <cell r="AM254">
            <v>0.35099999999999998</v>
          </cell>
        </row>
        <row r="255">
          <cell r="AL255" t="str">
            <v>Option Year 5ESDOverheadContr</v>
          </cell>
          <cell r="AM255">
            <v>0.17249999999999999</v>
          </cell>
        </row>
        <row r="256">
          <cell r="AL256" t="str">
            <v>Option Year 5ESDOverheadGovt</v>
          </cell>
          <cell r="AM256">
            <v>3.1E-2</v>
          </cell>
        </row>
        <row r="257">
          <cell r="AL257" t="str">
            <v>Option Year 5ESDMHContr/Govt</v>
          </cell>
          <cell r="AM257">
            <v>2.76E-2</v>
          </cell>
        </row>
        <row r="258">
          <cell r="AL258" t="str">
            <v>Option Year 5ESDG&amp;AContr/Govt</v>
          </cell>
          <cell r="AM258">
            <v>8.5699999999999998E-2</v>
          </cell>
        </row>
        <row r="259">
          <cell r="AL259" t="str">
            <v>Option Year 5ESDTBD1Contr/Govt</v>
          </cell>
          <cell r="AM259">
            <v>0</v>
          </cell>
        </row>
        <row r="260">
          <cell r="AL260" t="str">
            <v>Option Year 5ESDTBD2Contr/Govt</v>
          </cell>
          <cell r="AM260">
            <v>0</v>
          </cell>
        </row>
        <row r="261">
          <cell r="AL261" t="str">
            <v>Option Year 5ESDTBD3Contr/Govt</v>
          </cell>
          <cell r="AM261">
            <v>0</v>
          </cell>
        </row>
        <row r="266">
          <cell r="AL266" t="str">
            <v>Option Year 6ESDPRBContr/Govt</v>
          </cell>
          <cell r="AM266">
            <v>0.35099999999999998</v>
          </cell>
        </row>
        <row r="267">
          <cell r="AL267" t="str">
            <v>Option Year 6ESDOverheadContr</v>
          </cell>
          <cell r="AM267">
            <v>0.17249999999999999</v>
          </cell>
        </row>
        <row r="268">
          <cell r="AL268" t="str">
            <v>Option Year 6ESDOverheadGovt</v>
          </cell>
          <cell r="AM268">
            <v>3.1E-2</v>
          </cell>
        </row>
        <row r="269">
          <cell r="AL269" t="str">
            <v>Option Year 6ESDMHContr/Govt</v>
          </cell>
          <cell r="AM269">
            <v>2.76E-2</v>
          </cell>
        </row>
        <row r="270">
          <cell r="AL270" t="str">
            <v>Option Year 6ESDG&amp;AContr/Govt</v>
          </cell>
          <cell r="AM270">
            <v>8.5699999999999998E-2</v>
          </cell>
        </row>
        <row r="271">
          <cell r="AL271" t="str">
            <v>Option Year 6ESDTBD1Contr/Govt</v>
          </cell>
          <cell r="AM271">
            <v>0</v>
          </cell>
        </row>
        <row r="272">
          <cell r="AL272" t="str">
            <v>Option Year 6ESDTBD2Contr/Govt</v>
          </cell>
          <cell r="AM272">
            <v>0</v>
          </cell>
        </row>
        <row r="273">
          <cell r="AL273" t="str">
            <v>Option Year 6ESDTBD3Contr/Govt</v>
          </cell>
          <cell r="AM273">
            <v>0</v>
          </cell>
        </row>
        <row r="278">
          <cell r="AL278" t="str">
            <v>Option Year 7ESDPRBContr/Govt</v>
          </cell>
          <cell r="AM278">
            <v>0</v>
          </cell>
        </row>
        <row r="279">
          <cell r="AL279" t="str">
            <v>Option Year 7ESDOverheadContr</v>
          </cell>
          <cell r="AM279">
            <v>0</v>
          </cell>
        </row>
        <row r="280">
          <cell r="AL280" t="str">
            <v>Option Year 7ESDOverheadGovt</v>
          </cell>
          <cell r="AM280">
            <v>0</v>
          </cell>
        </row>
        <row r="281">
          <cell r="AL281" t="str">
            <v>Option Year 7ESDMHContr/Govt</v>
          </cell>
          <cell r="AM281">
            <v>0</v>
          </cell>
        </row>
        <row r="282">
          <cell r="AL282" t="str">
            <v>Option Year 7ESDG&amp;AContr/Govt</v>
          </cell>
          <cell r="AM282">
            <v>0</v>
          </cell>
        </row>
        <row r="283">
          <cell r="AL283" t="str">
            <v>Option Year 7ESDTBD1Contr/Govt</v>
          </cell>
          <cell r="AM283">
            <v>0</v>
          </cell>
        </row>
        <row r="284">
          <cell r="AL284" t="str">
            <v>Option Year 7ESDTBD2Contr/Govt</v>
          </cell>
          <cell r="AM284">
            <v>0</v>
          </cell>
        </row>
        <row r="285">
          <cell r="AL285" t="str">
            <v>Option Year 7ESDTBD3Contr/Govt</v>
          </cell>
          <cell r="AM285">
            <v>0</v>
          </cell>
        </row>
        <row r="290">
          <cell r="AL290" t="str">
            <v>Option Year 8ESDPRBContr/Govt</v>
          </cell>
          <cell r="AM290">
            <v>0</v>
          </cell>
        </row>
        <row r="291">
          <cell r="AL291" t="str">
            <v>Option Year 8ESDOverheadContr</v>
          </cell>
          <cell r="AM291">
            <v>0</v>
          </cell>
        </row>
        <row r="292">
          <cell r="AL292" t="str">
            <v>Option Year 8ESDOverheadGovt</v>
          </cell>
          <cell r="AM292">
            <v>0</v>
          </cell>
        </row>
        <row r="293">
          <cell r="AL293" t="str">
            <v>Option Year 8ESDMHContr/Govt</v>
          </cell>
          <cell r="AM293">
            <v>0</v>
          </cell>
        </row>
        <row r="294">
          <cell r="AL294" t="str">
            <v>Option Year 8ESDG&amp;AContr/Govt</v>
          </cell>
          <cell r="AM294">
            <v>0</v>
          </cell>
        </row>
        <row r="295">
          <cell r="AL295" t="str">
            <v>Option Year 8ESDTBD1Contr/Govt</v>
          </cell>
          <cell r="AM295">
            <v>0</v>
          </cell>
        </row>
        <row r="296">
          <cell r="AL296" t="str">
            <v>Option Year 8ESDTBD2Contr/Govt</v>
          </cell>
          <cell r="AM296">
            <v>0</v>
          </cell>
        </row>
        <row r="297">
          <cell r="AL297" t="str">
            <v>Option Year 8ESDTBD3Contr/Govt</v>
          </cell>
          <cell r="AM297">
            <v>0</v>
          </cell>
        </row>
        <row r="302">
          <cell r="AL302" t="str">
            <v>Option Year 9ESDPRBContr/Govt</v>
          </cell>
          <cell r="AM302">
            <v>0</v>
          </cell>
        </row>
        <row r="303">
          <cell r="AL303" t="str">
            <v>Option Year 9ESDOverheadContr</v>
          </cell>
          <cell r="AM303">
            <v>0</v>
          </cell>
        </row>
        <row r="304">
          <cell r="AL304" t="str">
            <v>Option Year 9ESDOverheadGovt</v>
          </cell>
          <cell r="AM304">
            <v>0</v>
          </cell>
        </row>
        <row r="305">
          <cell r="AL305" t="str">
            <v>Option Year 9ESDMHContr/Govt</v>
          </cell>
          <cell r="AM305">
            <v>0</v>
          </cell>
        </row>
        <row r="306">
          <cell r="AL306" t="str">
            <v>Option Year 9ESDG&amp;AContr/Govt</v>
          </cell>
          <cell r="AM306">
            <v>0</v>
          </cell>
        </row>
        <row r="307">
          <cell r="AL307" t="str">
            <v>Option Year 9ESDTBD1Contr/Govt</v>
          </cell>
          <cell r="AM307">
            <v>0</v>
          </cell>
        </row>
        <row r="308">
          <cell r="AL308" t="str">
            <v>Option Year 9ESDTBD2Contr/Govt</v>
          </cell>
          <cell r="AM308">
            <v>0</v>
          </cell>
        </row>
        <row r="309">
          <cell r="AL309" t="str">
            <v>Option Year 9ESDTBD3Contr/Govt</v>
          </cell>
          <cell r="AM309">
            <v>0</v>
          </cell>
        </row>
        <row r="314">
          <cell r="AL314" t="str">
            <v>Option Year 10ESDPRBContr/Govt</v>
          </cell>
          <cell r="AM314">
            <v>0</v>
          </cell>
        </row>
        <row r="315">
          <cell r="AL315" t="str">
            <v>Option Year 10ESDOverheadContr</v>
          </cell>
          <cell r="AM315">
            <v>0</v>
          </cell>
        </row>
        <row r="316">
          <cell r="AL316" t="str">
            <v>Option Year 10ESDOverheadGovt</v>
          </cell>
          <cell r="AM316">
            <v>0</v>
          </cell>
        </row>
        <row r="317">
          <cell r="AL317" t="str">
            <v>Option Year 10ESDMHContr/Govt</v>
          </cell>
          <cell r="AM317">
            <v>0</v>
          </cell>
        </row>
        <row r="318">
          <cell r="AL318" t="str">
            <v>Option Year 10ESDG&amp;AContr/Govt</v>
          </cell>
          <cell r="AM318">
            <v>0</v>
          </cell>
        </row>
        <row r="319">
          <cell r="AL319" t="str">
            <v>Option Year 10ESDTBD1Contr/Govt</v>
          </cell>
          <cell r="AM319">
            <v>0</v>
          </cell>
        </row>
        <row r="320">
          <cell r="AL320" t="str">
            <v>Option Year 10ESDTBD2Contr/Govt</v>
          </cell>
          <cell r="AM320">
            <v>0</v>
          </cell>
        </row>
        <row r="321">
          <cell r="AL321" t="str">
            <v>Option Year 10ESDTBD3Contr/Govt</v>
          </cell>
          <cell r="AM321">
            <v>0</v>
          </cell>
        </row>
        <row r="326">
          <cell r="AL326" t="str">
            <v>Option Year 11ESDPRBContr/Govt</v>
          </cell>
          <cell r="AM326">
            <v>0</v>
          </cell>
        </row>
        <row r="327">
          <cell r="AL327" t="str">
            <v>Option Year 11ESDOverheadContr</v>
          </cell>
          <cell r="AM327">
            <v>0</v>
          </cell>
        </row>
        <row r="328">
          <cell r="AL328" t="str">
            <v>Option Year 11ESDOverheadGovt</v>
          </cell>
          <cell r="AM328">
            <v>0</v>
          </cell>
        </row>
        <row r="329">
          <cell r="AL329" t="str">
            <v>Option Year 11ESDMHContr/Govt</v>
          </cell>
          <cell r="AM329">
            <v>0</v>
          </cell>
        </row>
        <row r="330">
          <cell r="AL330" t="str">
            <v>Option Year 11ESDG&amp;AContr/Govt</v>
          </cell>
          <cell r="AM330">
            <v>0</v>
          </cell>
        </row>
        <row r="331">
          <cell r="AL331" t="str">
            <v>Option Year 11ESDTBD1Contr/Govt</v>
          </cell>
          <cell r="AM331">
            <v>0</v>
          </cell>
        </row>
        <row r="332">
          <cell r="AL332" t="str">
            <v>Option Year 11ESDTBD2Contr/Govt</v>
          </cell>
          <cell r="AM332">
            <v>0</v>
          </cell>
        </row>
        <row r="333">
          <cell r="AL333" t="str">
            <v>Option Year 11ESDTBD3Contr/Govt</v>
          </cell>
          <cell r="AM333">
            <v>0</v>
          </cell>
        </row>
        <row r="338">
          <cell r="AL338" t="str">
            <v>Option Year 12ESDPRBContr/Govt</v>
          </cell>
          <cell r="AM338">
            <v>0</v>
          </cell>
        </row>
        <row r="339">
          <cell r="AL339" t="str">
            <v>Option Year 12ESDOverheadContr</v>
          </cell>
          <cell r="AM339">
            <v>0</v>
          </cell>
        </row>
        <row r="340">
          <cell r="AL340" t="str">
            <v>Option Year 12ESDOverheadGovt</v>
          </cell>
          <cell r="AM340">
            <v>0</v>
          </cell>
        </row>
        <row r="341">
          <cell r="AL341" t="str">
            <v>Option Year 12ESDMHContr/Govt</v>
          </cell>
          <cell r="AM341">
            <v>0</v>
          </cell>
        </row>
        <row r="342">
          <cell r="AL342" t="str">
            <v>Option Year 12ESDG&amp;AContr/Govt</v>
          </cell>
          <cell r="AM342">
            <v>0</v>
          </cell>
        </row>
        <row r="343">
          <cell r="AL343" t="str">
            <v>Option Year 12ESDTBD1Contr/Govt</v>
          </cell>
          <cell r="AM343">
            <v>0</v>
          </cell>
        </row>
        <row r="344">
          <cell r="AL344" t="str">
            <v>Option Year 12ESDTBD2Contr/Govt</v>
          </cell>
          <cell r="AM344">
            <v>0</v>
          </cell>
        </row>
        <row r="345">
          <cell r="AL345" t="str">
            <v>Option Year 12ESDTBD3Contr/Govt</v>
          </cell>
          <cell r="AM345">
            <v>0</v>
          </cell>
        </row>
        <row r="350">
          <cell r="AL350" t="str">
            <v>Option Year 13ESDPRBContr/Govt</v>
          </cell>
          <cell r="AM350" t="e">
            <v>#DIV/0!</v>
          </cell>
        </row>
        <row r="351">
          <cell r="AL351" t="str">
            <v>Option Year 13ESDOverheadContr</v>
          </cell>
          <cell r="AM351" t="e">
            <v>#DIV/0!</v>
          </cell>
        </row>
        <row r="352">
          <cell r="AL352" t="str">
            <v>Option Year 13ESDOverheadGovt</v>
          </cell>
          <cell r="AM352" t="e">
            <v>#DIV/0!</v>
          </cell>
        </row>
        <row r="353">
          <cell r="AL353" t="str">
            <v>Option Year 13ESDMHContr/Govt</v>
          </cell>
          <cell r="AM353" t="e">
            <v>#DIV/0!</v>
          </cell>
        </row>
        <row r="354">
          <cell r="AL354" t="str">
            <v>Option Year 13ESDG&amp;AContr/Govt</v>
          </cell>
          <cell r="AM354" t="e">
            <v>#DIV/0!</v>
          </cell>
        </row>
        <row r="355">
          <cell r="AL355" t="str">
            <v>Option Year 13ESDTBD1Contr/Govt</v>
          </cell>
          <cell r="AM355" t="e">
            <v>#DIV/0!</v>
          </cell>
        </row>
        <row r="356">
          <cell r="AL356" t="str">
            <v>Option Year 13ESDTBD2Contr/Govt</v>
          </cell>
          <cell r="AM356" t="e">
            <v>#DIV/0!</v>
          </cell>
        </row>
        <row r="357">
          <cell r="AL357" t="str">
            <v>Option Year 13ESDTBD3Contr/Govt</v>
          </cell>
          <cell r="AM357" t="e">
            <v>#DIV/0!</v>
          </cell>
        </row>
        <row r="362">
          <cell r="AL362" t="str">
            <v>Option Year 14ESDPRBContr/Govt</v>
          </cell>
          <cell r="AM362" t="e">
            <v>#DIV/0!</v>
          </cell>
        </row>
        <row r="363">
          <cell r="AL363" t="str">
            <v>Option Year 14ESDOverheadContr</v>
          </cell>
          <cell r="AM363" t="e">
            <v>#DIV/0!</v>
          </cell>
        </row>
        <row r="364">
          <cell r="AL364" t="str">
            <v>Option Year 14ESDOverheadGovt</v>
          </cell>
          <cell r="AM364" t="e">
            <v>#DIV/0!</v>
          </cell>
        </row>
        <row r="365">
          <cell r="AL365" t="str">
            <v>Option Year 14ESDMHContr/Govt</v>
          </cell>
          <cell r="AM365" t="e">
            <v>#DIV/0!</v>
          </cell>
        </row>
        <row r="366">
          <cell r="AL366" t="str">
            <v>Option Year 14ESDG&amp;AContr/Govt</v>
          </cell>
          <cell r="AM366" t="e">
            <v>#DIV/0!</v>
          </cell>
        </row>
        <row r="367">
          <cell r="AL367" t="str">
            <v>Option Year 14ESDTBD1Contr/Govt</v>
          </cell>
          <cell r="AM367" t="e">
            <v>#DIV/0!</v>
          </cell>
        </row>
        <row r="368">
          <cell r="AL368" t="str">
            <v>Option Year 14ESDTBD2Contr/Govt</v>
          </cell>
          <cell r="AM368" t="e">
            <v>#DIV/0!</v>
          </cell>
        </row>
        <row r="369">
          <cell r="AL369" t="str">
            <v>Option Year 14ESDTBD3Contr/Govt</v>
          </cell>
          <cell r="AM369" t="e">
            <v>#DIV/0!</v>
          </cell>
        </row>
        <row r="375">
          <cell r="AL375" t="str">
            <v>LOOKUP TABLE - DO NOT DELETE</v>
          </cell>
        </row>
        <row r="376">
          <cell r="AL376" t="str">
            <v>Base YearESDPRBContr/Govt</v>
          </cell>
          <cell r="AM376">
            <v>0.35099999999999998</v>
          </cell>
        </row>
        <row r="377">
          <cell r="AL377" t="str">
            <v>Base YearESDOverheadContr</v>
          </cell>
          <cell r="AM377">
            <v>0.17249999999999999</v>
          </cell>
        </row>
        <row r="378">
          <cell r="AL378" t="str">
            <v>Base YearESDOverheadGovt</v>
          </cell>
          <cell r="AM378">
            <v>3.1E-2</v>
          </cell>
        </row>
        <row r="379">
          <cell r="AL379" t="str">
            <v>Base YearESDMHContr/Govt</v>
          </cell>
          <cell r="AM379">
            <v>3.0300000000000001E-2</v>
          </cell>
        </row>
        <row r="380">
          <cell r="AL380" t="str">
            <v>Base YearESDG&amp;AContr/Govt</v>
          </cell>
          <cell r="AM380">
            <v>9.3100000000000002E-2</v>
          </cell>
        </row>
        <row r="381">
          <cell r="AL381" t="str">
            <v>Base YearESDTBD1Contr/Govt</v>
          </cell>
          <cell r="AM381">
            <v>0</v>
          </cell>
        </row>
        <row r="382">
          <cell r="AL382" t="str">
            <v>Base YearESDTBD2Contr/Govt</v>
          </cell>
          <cell r="AM382">
            <v>0</v>
          </cell>
        </row>
        <row r="383">
          <cell r="AL383" t="str">
            <v>Base YearESDTBD3Contr/Govt</v>
          </cell>
          <cell r="AM383">
            <v>0</v>
          </cell>
        </row>
        <row r="388">
          <cell r="AL388" t="str">
            <v>Option Year 1ESDPRBContr/Govt</v>
          </cell>
          <cell r="AM388">
            <v>0.35099999999999998</v>
          </cell>
        </row>
        <row r="389">
          <cell r="AL389" t="str">
            <v>Option Year 1ESDOverheadContr</v>
          </cell>
          <cell r="AM389">
            <v>0.17249999999999999</v>
          </cell>
        </row>
        <row r="390">
          <cell r="AL390" t="str">
            <v>Option Year 1ESDOverheadGovt</v>
          </cell>
          <cell r="AM390">
            <v>3.1E-2</v>
          </cell>
        </row>
        <row r="391">
          <cell r="AL391" t="str">
            <v>Option Year 1ESDMHContr/Govt</v>
          </cell>
          <cell r="AM391">
            <v>2.93E-2</v>
          </cell>
        </row>
        <row r="392">
          <cell r="AL392" t="str">
            <v>Option Year 1ESDG&amp;AContr/Govt</v>
          </cell>
          <cell r="AM392">
            <v>9.0499999999999997E-2</v>
          </cell>
        </row>
        <row r="393">
          <cell r="AL393" t="str">
            <v>Option Year 1ESDTBD1Contr/Govt</v>
          </cell>
          <cell r="AM393">
            <v>0</v>
          </cell>
        </row>
        <row r="394">
          <cell r="AL394" t="str">
            <v>Option Year 1ESDTBD2Contr/Govt</v>
          </cell>
          <cell r="AM394">
            <v>0</v>
          </cell>
        </row>
        <row r="395">
          <cell r="AL395" t="str">
            <v>Option Year 1ESDTBD3Contr/Govt</v>
          </cell>
          <cell r="AM395">
            <v>0</v>
          </cell>
        </row>
        <row r="400">
          <cell r="AL400" t="str">
            <v>Option Year 2ESDPRBContr/Govt</v>
          </cell>
          <cell r="AM400">
            <v>0.35099999999999998</v>
          </cell>
        </row>
        <row r="401">
          <cell r="AL401" t="str">
            <v>Option Year 2ESDOverheadContr</v>
          </cell>
          <cell r="AM401">
            <v>0.17249999999999999</v>
          </cell>
        </row>
        <row r="402">
          <cell r="AL402" t="str">
            <v>Option Year 2ESDOverheadGovt</v>
          </cell>
          <cell r="AM402">
            <v>3.1E-2</v>
          </cell>
        </row>
        <row r="403">
          <cell r="AL403" t="str">
            <v>Option Year 2ESDMHContr/Govt</v>
          </cell>
          <cell r="AM403">
            <v>2.8400000000000002E-2</v>
          </cell>
        </row>
        <row r="404">
          <cell r="AL404" t="str">
            <v>Option Year 2ESDG&amp;AContr/Govt</v>
          </cell>
          <cell r="AM404">
            <v>8.7999999999999995E-2</v>
          </cell>
        </row>
        <row r="405">
          <cell r="AL405" t="str">
            <v>Option Year 2ESDTBD1Contr/Govt</v>
          </cell>
          <cell r="AM405">
            <v>0</v>
          </cell>
        </row>
        <row r="406">
          <cell r="AL406" t="str">
            <v>Option Year 2ESDTBD2Contr/Govt</v>
          </cell>
          <cell r="AM406">
            <v>0</v>
          </cell>
        </row>
        <row r="407">
          <cell r="AL407" t="str">
            <v>Option Year 2ESDTBD3Contr/Govt</v>
          </cell>
          <cell r="AM407">
            <v>0</v>
          </cell>
        </row>
        <row r="412">
          <cell r="AL412" t="str">
            <v>Option Year 3ESDPRBContr/Govt</v>
          </cell>
          <cell r="AM412">
            <v>0.35099999999999998</v>
          </cell>
        </row>
        <row r="413">
          <cell r="AL413" t="str">
            <v>Option Year 3ESDOverheadContr</v>
          </cell>
          <cell r="AM413">
            <v>0.17249999999999999</v>
          </cell>
        </row>
        <row r="414">
          <cell r="AL414" t="str">
            <v>Option Year 3ESDOverheadGovt</v>
          </cell>
          <cell r="AM414">
            <v>3.1E-2</v>
          </cell>
        </row>
        <row r="415">
          <cell r="AL415" t="str">
            <v>Option Year 3ESDMHContr/Govt</v>
          </cell>
          <cell r="AM415">
            <v>2.76E-2</v>
          </cell>
        </row>
        <row r="416">
          <cell r="AL416" t="str">
            <v>Option Year 3ESDG&amp;AContr/Govt</v>
          </cell>
          <cell r="AM416">
            <v>8.5699999999999998E-2</v>
          </cell>
        </row>
        <row r="417">
          <cell r="AL417" t="str">
            <v>Option Year 3ESDTBD1Contr/Govt</v>
          </cell>
          <cell r="AM417">
            <v>0</v>
          </cell>
        </row>
        <row r="418">
          <cell r="AL418" t="str">
            <v>Option Year 3ESDTBD2Contr/Govt</v>
          </cell>
          <cell r="AM418">
            <v>0</v>
          </cell>
        </row>
        <row r="419">
          <cell r="AL419" t="str">
            <v>Option Year 3ESDTBD3Contr/Govt</v>
          </cell>
          <cell r="AM419">
            <v>0</v>
          </cell>
        </row>
        <row r="424">
          <cell r="AL424" t="str">
            <v>Option Year 4ESDPRBContr/Govt</v>
          </cell>
          <cell r="AM424">
            <v>0.35099999999999998</v>
          </cell>
        </row>
        <row r="425">
          <cell r="AL425" t="str">
            <v>Option Year 4ESDOverheadContr</v>
          </cell>
          <cell r="AM425">
            <v>0.17249999999999999</v>
          </cell>
        </row>
        <row r="426">
          <cell r="AL426" t="str">
            <v>Option Year 4ESDOverheadGovt</v>
          </cell>
          <cell r="AM426">
            <v>3.1E-2</v>
          </cell>
        </row>
        <row r="427">
          <cell r="AL427" t="str">
            <v>Option Year 4ESDMHContr/Govt</v>
          </cell>
          <cell r="AM427">
            <v>2.76E-2</v>
          </cell>
        </row>
        <row r="428">
          <cell r="AL428" t="str">
            <v>Option Year 4ESDG&amp;AContr/Govt</v>
          </cell>
          <cell r="AM428">
            <v>8.5699999999999998E-2</v>
          </cell>
        </row>
        <row r="429">
          <cell r="AL429" t="str">
            <v>Option Year 4ESDTBD1Contr/Govt</v>
          </cell>
          <cell r="AM429">
            <v>0</v>
          </cell>
        </row>
        <row r="430">
          <cell r="AL430" t="str">
            <v>Option Year 4ESDTBD2Contr/Govt</v>
          </cell>
          <cell r="AM430">
            <v>0</v>
          </cell>
        </row>
        <row r="431">
          <cell r="AL431" t="str">
            <v>Option Year 4ESDTBD3Contr/Govt</v>
          </cell>
          <cell r="AM431">
            <v>0</v>
          </cell>
        </row>
        <row r="436">
          <cell r="AL436" t="str">
            <v>Option Year 5ESDPRBContr/Govt</v>
          </cell>
          <cell r="AM436">
            <v>0.35099999999999998</v>
          </cell>
        </row>
        <row r="437">
          <cell r="AL437" t="str">
            <v>Option Year 5ESDOverheadContr</v>
          </cell>
          <cell r="AM437">
            <v>0.17249999999999999</v>
          </cell>
        </row>
        <row r="438">
          <cell r="AL438" t="str">
            <v>Option Year 5ESDOverheadGovt</v>
          </cell>
          <cell r="AM438">
            <v>3.1E-2</v>
          </cell>
        </row>
        <row r="439">
          <cell r="AL439" t="str">
            <v>Option Year 5ESDMHContr/Govt</v>
          </cell>
          <cell r="AM439">
            <v>2.76E-2</v>
          </cell>
        </row>
        <row r="440">
          <cell r="AL440" t="str">
            <v>Option Year 5ESDG&amp;AContr/Govt</v>
          </cell>
          <cell r="AM440">
            <v>8.5699999999999998E-2</v>
          </cell>
        </row>
        <row r="441">
          <cell r="AL441" t="str">
            <v>Option Year 5ESDTBD1Contr/Govt</v>
          </cell>
          <cell r="AM441">
            <v>0</v>
          </cell>
        </row>
        <row r="442">
          <cell r="AL442" t="str">
            <v>Option Year 5ESDTBD2Contr/Govt</v>
          </cell>
          <cell r="AM442">
            <v>0</v>
          </cell>
        </row>
        <row r="443">
          <cell r="AL443" t="str">
            <v>Option Year 5ESDTBD3Contr/Govt</v>
          </cell>
          <cell r="AM443">
            <v>0</v>
          </cell>
        </row>
        <row r="448">
          <cell r="AL448" t="str">
            <v>Option Year 6ESDPRBContr/Govt</v>
          </cell>
          <cell r="AM448">
            <v>0.35099999999999998</v>
          </cell>
        </row>
        <row r="449">
          <cell r="AL449" t="str">
            <v>Option Year 6ESDOverheadContr</v>
          </cell>
          <cell r="AM449">
            <v>0.17249999999999999</v>
          </cell>
        </row>
        <row r="450">
          <cell r="AL450" t="str">
            <v>Option Year 6ESDOverheadGovt</v>
          </cell>
          <cell r="AM450">
            <v>3.1E-2</v>
          </cell>
        </row>
        <row r="451">
          <cell r="AL451" t="str">
            <v>Option Year 6ESDMHContr/Govt</v>
          </cell>
          <cell r="AM451">
            <v>2.76E-2</v>
          </cell>
        </row>
        <row r="452">
          <cell r="AL452" t="str">
            <v>Option Year 6ESDG&amp;AContr/Govt</v>
          </cell>
          <cell r="AM452">
            <v>8.5699999999999998E-2</v>
          </cell>
        </row>
        <row r="453">
          <cell r="AL453" t="str">
            <v>Option Year 6ESDTBD1Contr/Govt</v>
          </cell>
          <cell r="AM453">
            <v>0</v>
          </cell>
        </row>
        <row r="454">
          <cell r="AL454" t="str">
            <v>Option Year 6ESDTBD2Contr/Govt</v>
          </cell>
          <cell r="AM454">
            <v>0</v>
          </cell>
        </row>
        <row r="455">
          <cell r="AL455" t="str">
            <v>Option Year 6ESDTBD3Contr/Govt</v>
          </cell>
          <cell r="AM455">
            <v>0</v>
          </cell>
        </row>
        <row r="460">
          <cell r="AL460" t="str">
            <v>Option Year 7ESDPRBContr/Govt</v>
          </cell>
          <cell r="AM460">
            <v>0</v>
          </cell>
        </row>
        <row r="461">
          <cell r="AL461" t="str">
            <v>Option Year 7ESDOverheadContr</v>
          </cell>
          <cell r="AM461">
            <v>0</v>
          </cell>
        </row>
        <row r="462">
          <cell r="AL462" t="str">
            <v>Option Year 7ESDOverheadGovt</v>
          </cell>
          <cell r="AM462">
            <v>0</v>
          </cell>
        </row>
        <row r="463">
          <cell r="AL463" t="str">
            <v>Option Year 7ESDMHContr/Govt</v>
          </cell>
          <cell r="AM463">
            <v>0</v>
          </cell>
        </row>
        <row r="464">
          <cell r="AL464" t="str">
            <v>Option Year 7ESDG&amp;AContr/Govt</v>
          </cell>
          <cell r="AM464">
            <v>0</v>
          </cell>
        </row>
        <row r="465">
          <cell r="AL465" t="str">
            <v>Option Year 7ESDTBD1Contr/Govt</v>
          </cell>
          <cell r="AM465">
            <v>0</v>
          </cell>
        </row>
        <row r="466">
          <cell r="AL466" t="str">
            <v>Option Year 7ESDTBD2Contr/Govt</v>
          </cell>
          <cell r="AM466">
            <v>0</v>
          </cell>
        </row>
        <row r="467">
          <cell r="AL467" t="str">
            <v>Option Year 7ESDTBD3Contr/Govt</v>
          </cell>
          <cell r="AM467">
            <v>0</v>
          </cell>
        </row>
        <row r="472">
          <cell r="AL472" t="str">
            <v>Option Year 8ESDPRBContr/Govt</v>
          </cell>
          <cell r="AM472">
            <v>0</v>
          </cell>
        </row>
        <row r="473">
          <cell r="AL473" t="str">
            <v>Option Year 8ESDOverheadContr</v>
          </cell>
          <cell r="AM473">
            <v>0</v>
          </cell>
        </row>
        <row r="474">
          <cell r="AL474" t="str">
            <v>Option Year 8ESDOverheadGovt</v>
          </cell>
          <cell r="AM474">
            <v>0</v>
          </cell>
        </row>
        <row r="475">
          <cell r="AL475" t="str">
            <v>Option Year 8ESDMHContr/Govt</v>
          </cell>
          <cell r="AM475">
            <v>0</v>
          </cell>
        </row>
        <row r="476">
          <cell r="AL476" t="str">
            <v>Option Year 8ESDG&amp;AContr/Govt</v>
          </cell>
          <cell r="AM476">
            <v>0</v>
          </cell>
        </row>
        <row r="477">
          <cell r="AL477" t="str">
            <v>Option Year 8ESDTBD1Contr/Govt</v>
          </cell>
          <cell r="AM477">
            <v>0</v>
          </cell>
        </row>
        <row r="478">
          <cell r="AL478" t="str">
            <v>Option Year 8ESDTBD2Contr/Govt</v>
          </cell>
          <cell r="AM478">
            <v>0</v>
          </cell>
        </row>
        <row r="479">
          <cell r="AL479" t="str">
            <v>Option Year 8ESDTBD3Contr/Govt</v>
          </cell>
          <cell r="AM479">
            <v>0</v>
          </cell>
        </row>
        <row r="484">
          <cell r="AL484" t="str">
            <v>Option Year 9ESDPRBContr/Govt</v>
          </cell>
          <cell r="AM484">
            <v>0</v>
          </cell>
        </row>
        <row r="485">
          <cell r="AL485" t="str">
            <v>Option Year 9ESDOverheadContr</v>
          </cell>
          <cell r="AM485">
            <v>0</v>
          </cell>
        </row>
        <row r="486">
          <cell r="AL486" t="str">
            <v>Option Year 9ESDOverheadGovt</v>
          </cell>
          <cell r="AM486">
            <v>0</v>
          </cell>
        </row>
        <row r="487">
          <cell r="AL487" t="str">
            <v>Option Year 9ESDMHContr/Govt</v>
          </cell>
          <cell r="AM487">
            <v>0</v>
          </cell>
        </row>
        <row r="488">
          <cell r="AL488" t="str">
            <v>Option Year 9ESDG&amp;AContr/Govt</v>
          </cell>
          <cell r="AM488">
            <v>0</v>
          </cell>
        </row>
        <row r="489">
          <cell r="AL489" t="str">
            <v>Option Year 9ESDTBD1Contr/Govt</v>
          </cell>
          <cell r="AM489">
            <v>0</v>
          </cell>
        </row>
        <row r="490">
          <cell r="AL490" t="str">
            <v>Option Year 9ESDTBD2Contr/Govt</v>
          </cell>
          <cell r="AM490">
            <v>0</v>
          </cell>
        </row>
        <row r="491">
          <cell r="AL491" t="str">
            <v>Option Year 9ESDTBD3Contr/Govt</v>
          </cell>
          <cell r="AM491">
            <v>0</v>
          </cell>
        </row>
        <row r="496">
          <cell r="AL496" t="str">
            <v>Option Year 10ESDPRBContr/Govt</v>
          </cell>
          <cell r="AM496">
            <v>0</v>
          </cell>
        </row>
        <row r="497">
          <cell r="AL497" t="str">
            <v>Option Year 10ESDOverheadContr</v>
          </cell>
          <cell r="AM497">
            <v>0</v>
          </cell>
        </row>
        <row r="498">
          <cell r="AL498" t="str">
            <v>Option Year 10ESDOverheadGovt</v>
          </cell>
          <cell r="AM498">
            <v>0</v>
          </cell>
        </row>
        <row r="499">
          <cell r="AL499" t="str">
            <v>Option Year 10ESDMHContr/Govt</v>
          </cell>
          <cell r="AM499">
            <v>0</v>
          </cell>
        </row>
        <row r="500">
          <cell r="AL500" t="str">
            <v>Option Year 10ESDG&amp;AContr/Govt</v>
          </cell>
          <cell r="AM500">
            <v>0</v>
          </cell>
        </row>
        <row r="501">
          <cell r="AL501" t="str">
            <v>Option Year 10ESDTBD1Contr/Govt</v>
          </cell>
          <cell r="AM501">
            <v>0</v>
          </cell>
        </row>
        <row r="502">
          <cell r="AL502" t="str">
            <v>Option Year 10ESDTBD2Contr/Govt</v>
          </cell>
          <cell r="AM502">
            <v>0</v>
          </cell>
        </row>
        <row r="503">
          <cell r="AL503" t="str">
            <v>Option Year 10ESDTBD3Contr/Govt</v>
          </cell>
          <cell r="AM503">
            <v>0</v>
          </cell>
        </row>
        <row r="508">
          <cell r="AL508" t="str">
            <v>Option Year 11ESDPRBContr/Govt</v>
          </cell>
          <cell r="AM508">
            <v>0</v>
          </cell>
        </row>
        <row r="509">
          <cell r="AL509" t="str">
            <v>Option Year 11ESDOverheadContr</v>
          </cell>
          <cell r="AM509">
            <v>0</v>
          </cell>
        </row>
        <row r="510">
          <cell r="AL510" t="str">
            <v>Option Year 11ESDOverheadGovt</v>
          </cell>
          <cell r="AM510">
            <v>0</v>
          </cell>
        </row>
        <row r="511">
          <cell r="AL511" t="str">
            <v>Option Year 11ESDMHContr/Govt</v>
          </cell>
          <cell r="AM511">
            <v>0</v>
          </cell>
        </row>
        <row r="512">
          <cell r="AL512" t="str">
            <v>Option Year 11ESDG&amp;AContr/Govt</v>
          </cell>
          <cell r="AM512">
            <v>0</v>
          </cell>
        </row>
        <row r="513">
          <cell r="AL513" t="str">
            <v>Option Year 11ESDTBD1Contr/Govt</v>
          </cell>
          <cell r="AM513">
            <v>0</v>
          </cell>
        </row>
        <row r="514">
          <cell r="AL514" t="str">
            <v>Option Year 11ESDTBD2Contr/Govt</v>
          </cell>
          <cell r="AM514">
            <v>0</v>
          </cell>
        </row>
        <row r="515">
          <cell r="AL515" t="str">
            <v>Option Year 11ESDTBD3Contr/Govt</v>
          </cell>
          <cell r="AM515">
            <v>0</v>
          </cell>
        </row>
        <row r="520">
          <cell r="AL520" t="str">
            <v>Option Year 12ESDPRBContr/Govt</v>
          </cell>
          <cell r="AM520">
            <v>0</v>
          </cell>
        </row>
        <row r="521">
          <cell r="AL521" t="str">
            <v>Option Year 12ESDOverheadContr</v>
          </cell>
          <cell r="AM521">
            <v>0</v>
          </cell>
        </row>
        <row r="522">
          <cell r="AL522" t="str">
            <v>Option Year 12ESDOverheadGovt</v>
          </cell>
          <cell r="AM522">
            <v>0</v>
          </cell>
        </row>
        <row r="523">
          <cell r="AL523" t="str">
            <v>Option Year 12ESDMHContr/Govt</v>
          </cell>
          <cell r="AM523">
            <v>0</v>
          </cell>
        </row>
        <row r="524">
          <cell r="AL524" t="str">
            <v>Option Year 12ESDG&amp;AContr/Govt</v>
          </cell>
          <cell r="AM524">
            <v>0</v>
          </cell>
        </row>
        <row r="525">
          <cell r="AL525" t="str">
            <v>Option Year 12ESDTBD1Contr/Govt</v>
          </cell>
          <cell r="AM525">
            <v>0</v>
          </cell>
        </row>
        <row r="526">
          <cell r="AL526" t="str">
            <v>Option Year 12ESDTBD2Contr/Govt</v>
          </cell>
          <cell r="AM526">
            <v>0</v>
          </cell>
        </row>
        <row r="527">
          <cell r="AL527" t="str">
            <v>Option Year 12ESDTBD3Contr/Govt</v>
          </cell>
          <cell r="AM527">
            <v>0</v>
          </cell>
        </row>
        <row r="532">
          <cell r="AL532" t="str">
            <v>Option Year 13ESDPRBContr/Govt</v>
          </cell>
          <cell r="AM532" t="e">
            <v>#DIV/0!</v>
          </cell>
        </row>
        <row r="533">
          <cell r="AL533" t="str">
            <v>Option Year 13ESDOverheadContr</v>
          </cell>
          <cell r="AM533" t="e">
            <v>#DIV/0!</v>
          </cell>
        </row>
        <row r="534">
          <cell r="AL534" t="str">
            <v>Option Year 13ESDOverheadGovt</v>
          </cell>
          <cell r="AM534" t="e">
            <v>#DIV/0!</v>
          </cell>
        </row>
        <row r="535">
          <cell r="AL535" t="str">
            <v>Option Year 13ESDMHContr/Govt</v>
          </cell>
          <cell r="AM535" t="e">
            <v>#DIV/0!</v>
          </cell>
        </row>
        <row r="536">
          <cell r="AL536" t="str">
            <v>Option Year 13ESDG&amp;AContr/Govt</v>
          </cell>
          <cell r="AM536" t="e">
            <v>#DIV/0!</v>
          </cell>
        </row>
        <row r="537">
          <cell r="AL537" t="str">
            <v>Option Year 13ESDTBD1Contr/Govt</v>
          </cell>
          <cell r="AM537" t="e">
            <v>#DIV/0!</v>
          </cell>
        </row>
        <row r="538">
          <cell r="AL538" t="str">
            <v>Option Year 13ESDTBD2Contr/Govt</v>
          </cell>
          <cell r="AM538" t="e">
            <v>#DIV/0!</v>
          </cell>
        </row>
        <row r="539">
          <cell r="AL539" t="str">
            <v>Option Year 13ESDTBD3Contr/Govt</v>
          </cell>
          <cell r="AM539" t="e">
            <v>#DIV/0!</v>
          </cell>
        </row>
        <row r="544">
          <cell r="AL544" t="str">
            <v>Option Year 14ESDPRBContr/Govt</v>
          </cell>
          <cell r="AM544" t="e">
            <v>#DIV/0!</v>
          </cell>
        </row>
        <row r="545">
          <cell r="AL545" t="str">
            <v>Option Year 14ESDOverheadContr</v>
          </cell>
          <cell r="AM545" t="e">
            <v>#DIV/0!</v>
          </cell>
        </row>
        <row r="546">
          <cell r="AL546" t="str">
            <v>Option Year 14ESDOverheadGovt</v>
          </cell>
          <cell r="AM546" t="e">
            <v>#DIV/0!</v>
          </cell>
        </row>
        <row r="547">
          <cell r="AL547" t="str">
            <v>Option Year 14ESDMHContr/Govt</v>
          </cell>
          <cell r="AM547" t="e">
            <v>#DIV/0!</v>
          </cell>
        </row>
        <row r="548">
          <cell r="AL548" t="str">
            <v>Option Year 14ESDG&amp;AContr/Govt</v>
          </cell>
          <cell r="AM548" t="e">
            <v>#DIV/0!</v>
          </cell>
        </row>
        <row r="549">
          <cell r="AL549" t="str">
            <v>Option Year 14ESDTBD1Contr/Govt</v>
          </cell>
          <cell r="AM549" t="e">
            <v>#DIV/0!</v>
          </cell>
        </row>
        <row r="550">
          <cell r="AL550" t="str">
            <v>Option Year 14ESDTBD2Contr/Govt</v>
          </cell>
          <cell r="AM550" t="e">
            <v>#DIV/0!</v>
          </cell>
        </row>
        <row r="551">
          <cell r="AL551" t="str">
            <v>Option Year 14ESDTBD3Contr/Govt</v>
          </cell>
          <cell r="AM551" t="e">
            <v>#DIV/0!</v>
          </cell>
        </row>
      </sheetData>
      <sheetData sheetId="18"/>
      <sheetData sheetId="1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Travel - Year 1"/>
      <sheetName val="Travel - Year 2"/>
      <sheetName val="Travel - Year 3"/>
      <sheetName val="InputSheet"/>
      <sheetName val="Esc Code"/>
      <sheetName val="Indirect Lookup"/>
      <sheetName val="Year 1"/>
      <sheetName val="Year 2"/>
      <sheetName val="Year 3"/>
      <sheetName val="Training"/>
      <sheetName val="Processing"/>
      <sheetName val="JCCC Questions"/>
      <sheetName val="Pricing Summary"/>
      <sheetName val="Payment Schedule"/>
      <sheetName val="Payment Schedule Feeder"/>
      <sheetName val="Sheet1"/>
      <sheetName val="Compensation Summary"/>
      <sheetName val="CPFF"/>
      <sheetName val="WBS1"/>
      <sheetName val="WBS Staffing1"/>
      <sheetName val="WBS Task Descriptions"/>
      <sheetName val="GSA - Price Analysis"/>
      <sheetName val="GSA - Submittal"/>
      <sheetName val="Sub Rates"/>
      <sheetName val="Price Analysis &quot;Sub-1&quot;"/>
      <sheetName val="Indirects"/>
      <sheetName val="Hourly Rate Calc"/>
      <sheetName val="Year 1 (2)"/>
      <sheetName val="Year 2 (2)"/>
      <sheetName val="Year 3 (2)"/>
      <sheetName val="Pricing Summary (2)"/>
    </sheetNames>
    <sheetDataSet>
      <sheetData sheetId="0">
        <row r="21">
          <cell r="Q21">
            <v>8230.1</v>
          </cell>
        </row>
      </sheetData>
      <sheetData sheetId="1">
        <row r="21">
          <cell r="Q21">
            <v>2141.1</v>
          </cell>
        </row>
      </sheetData>
      <sheetData sheetId="2">
        <row r="21">
          <cell r="Q21">
            <v>2265.8000000000002</v>
          </cell>
        </row>
      </sheetData>
      <sheetData sheetId="3">
        <row r="1">
          <cell r="D1" t="str">
            <v>NCSA HQ 7010</v>
          </cell>
        </row>
        <row r="173">
          <cell r="B173">
            <v>1</v>
          </cell>
          <cell r="C173" t="str">
            <v xml:space="preserve">LAN/Wan Engineer </v>
          </cell>
          <cell r="E173" t="str">
            <v>ManTech</v>
          </cell>
          <cell r="F173">
            <v>0</v>
          </cell>
          <cell r="G173">
            <v>29</v>
          </cell>
        </row>
        <row r="174">
          <cell r="B174">
            <v>2</v>
          </cell>
          <cell r="C174" t="str">
            <v>Functional Services Administrator</v>
          </cell>
          <cell r="E174" t="str">
            <v>ManTech</v>
          </cell>
          <cell r="F174">
            <v>0</v>
          </cell>
          <cell r="G174">
            <v>33.81</v>
          </cell>
        </row>
        <row r="175">
          <cell r="B175">
            <v>3</v>
          </cell>
          <cell r="C175" t="str">
            <v>Functional Services Administrator</v>
          </cell>
          <cell r="E175" t="str">
            <v>ManTech</v>
          </cell>
          <cell r="F175">
            <v>0</v>
          </cell>
          <cell r="G175">
            <v>33.81</v>
          </cell>
        </row>
        <row r="176">
          <cell r="B176">
            <v>4</v>
          </cell>
          <cell r="C176" t="str">
            <v>Functional Services Administrator</v>
          </cell>
          <cell r="E176" t="str">
            <v>ManTech</v>
          </cell>
          <cell r="F176">
            <v>0</v>
          </cell>
          <cell r="G176">
            <v>33.81</v>
          </cell>
        </row>
        <row r="177">
          <cell r="B177">
            <v>5</v>
          </cell>
          <cell r="C177" t="str">
            <v>Service Desk</v>
          </cell>
          <cell r="E177" t="str">
            <v>ManTech</v>
          </cell>
          <cell r="F177">
            <v>0</v>
          </cell>
          <cell r="G177">
            <v>26</v>
          </cell>
        </row>
        <row r="178">
          <cell r="B178">
            <v>6</v>
          </cell>
          <cell r="C178" t="str">
            <v>Service Desk</v>
          </cell>
          <cell r="E178" t="str">
            <v>ManTech</v>
          </cell>
          <cell r="F178">
            <v>0</v>
          </cell>
          <cell r="G178">
            <v>26</v>
          </cell>
        </row>
        <row r="179">
          <cell r="B179">
            <v>7</v>
          </cell>
          <cell r="C179" t="str">
            <v>CIS Training Supervisor</v>
          </cell>
          <cell r="E179" t="str">
            <v>Segovia, Inc.</v>
          </cell>
          <cell r="F179">
            <v>0</v>
          </cell>
        </row>
        <row r="180">
          <cell r="B180">
            <v>8</v>
          </cell>
          <cell r="C180" t="str">
            <v>CIS Trainer</v>
          </cell>
          <cell r="E180" t="str">
            <v>Segovia, Inc.</v>
          </cell>
          <cell r="F180">
            <v>0</v>
          </cell>
        </row>
        <row r="181">
          <cell r="B181">
            <v>9</v>
          </cell>
          <cell r="C181" t="str">
            <v>Radio Technician</v>
          </cell>
          <cell r="E181" t="str">
            <v>Segovia, Inc.</v>
          </cell>
          <cell r="F181">
            <v>0</v>
          </cell>
        </row>
        <row r="182">
          <cell r="B182">
            <v>10</v>
          </cell>
          <cell r="C182" t="str">
            <v>Radio Technician</v>
          </cell>
          <cell r="E182" t="str">
            <v>Segovia, Inc.</v>
          </cell>
          <cell r="F182">
            <v>0</v>
          </cell>
        </row>
        <row r="183">
          <cell r="B183">
            <v>11</v>
          </cell>
          <cell r="C183" t="str">
            <v>Network Administrator</v>
          </cell>
          <cell r="E183" t="str">
            <v>ManTech</v>
          </cell>
          <cell r="F183">
            <v>0</v>
          </cell>
          <cell r="G183">
            <v>27.5</v>
          </cell>
        </row>
        <row r="184">
          <cell r="B184">
            <v>12</v>
          </cell>
          <cell r="C184" t="str">
            <v>System Administrator</v>
          </cell>
          <cell r="E184" t="str">
            <v>ManTech</v>
          </cell>
          <cell r="F184">
            <v>0</v>
          </cell>
          <cell r="G184">
            <v>28</v>
          </cell>
        </row>
        <row r="185">
          <cell r="B185">
            <v>13</v>
          </cell>
          <cell r="C185" t="str">
            <v>Configuration Manager</v>
          </cell>
          <cell r="E185" t="str">
            <v>ManTech</v>
          </cell>
          <cell r="F185">
            <v>0</v>
          </cell>
          <cell r="G185">
            <v>26</v>
          </cell>
        </row>
        <row r="186">
          <cell r="B186">
            <v>14</v>
          </cell>
          <cell r="C186" t="str">
            <v>Hardware Technician</v>
          </cell>
          <cell r="E186" t="str">
            <v>ManTech</v>
          </cell>
          <cell r="F186">
            <v>0</v>
          </cell>
          <cell r="G186">
            <v>26</v>
          </cell>
        </row>
        <row r="187">
          <cell r="B187">
            <v>15</v>
          </cell>
          <cell r="C187" t="str">
            <v>Repair/Exchange Specialist</v>
          </cell>
          <cell r="E187" t="str">
            <v>ManTech</v>
          </cell>
          <cell r="F187">
            <v>0</v>
          </cell>
          <cell r="G187">
            <v>25</v>
          </cell>
        </row>
        <row r="189">
          <cell r="B189">
            <v>16</v>
          </cell>
          <cell r="C189" t="str">
            <v>PMO Cost</v>
          </cell>
          <cell r="E189" t="str">
            <v>ManTech</v>
          </cell>
          <cell r="F189" t="str">
            <v>Martin,Lindy E</v>
          </cell>
          <cell r="G189">
            <v>108.5</v>
          </cell>
        </row>
        <row r="190">
          <cell r="B190">
            <v>17</v>
          </cell>
          <cell r="C190" t="str">
            <v>Project Controller Cost</v>
          </cell>
          <cell r="E190" t="str">
            <v>Yvan</v>
          </cell>
        </row>
      </sheetData>
      <sheetData sheetId="4"/>
      <sheetData sheetId="5">
        <row r="2">
          <cell r="C2" t="str">
            <v>ESD</v>
          </cell>
          <cell r="D2" t="str">
            <v>ESD 2</v>
          </cell>
          <cell r="E2" t="str">
            <v>MTSC NT</v>
          </cell>
          <cell r="F2" t="str">
            <v>MTSC ET</v>
          </cell>
          <cell r="G2" t="str">
            <v>SYMM</v>
          </cell>
          <cell r="H2" t="str">
            <v>SERV</v>
          </cell>
          <cell r="I2" t="str">
            <v>Tech System OFF</v>
          </cell>
          <cell r="J2" t="str">
            <v>Tech</v>
          </cell>
          <cell r="K2" t="str">
            <v>MRSL</v>
          </cell>
          <cell r="L2" t="str">
            <v>IS</v>
          </cell>
          <cell r="M2" t="str">
            <v>INTL</v>
          </cell>
          <cell r="N2" t="str">
            <v>SSD</v>
          </cell>
          <cell r="O2" t="str">
            <v>IST</v>
          </cell>
          <cell r="P2" t="str">
            <v>MISSION SUPPT Tier I</v>
          </cell>
          <cell r="Q2" t="str">
            <v>MISSION SUPPT Tier II</v>
          </cell>
          <cell r="R2" t="str">
            <v>e-IC</v>
          </cell>
          <cell r="S2" t="str">
            <v>e-IC MGS</v>
          </cell>
          <cell r="T2" t="str">
            <v>SMA MAIN</v>
          </cell>
          <cell r="U2" t="str">
            <v>SMA MAIN PT</v>
          </cell>
          <cell r="V2" t="str">
            <v>SMA MAIN Special</v>
          </cell>
          <cell r="W2" t="str">
            <v>CFIAG</v>
          </cell>
          <cell r="X2" t="str">
            <v>MASI Special</v>
          </cell>
          <cell r="Y2" t="str">
            <v>MASI</v>
          </cell>
          <cell r="Z2" t="str">
            <v>MASI P/T</v>
          </cell>
          <cell r="AA2" t="str">
            <v>CFIAG P/T</v>
          </cell>
          <cell r="AB2" t="str">
            <v>Remote</v>
          </cell>
          <cell r="AC2" t="str">
            <v>COMM</v>
          </cell>
          <cell r="AD2" t="str">
            <v>ADV PRGMS</v>
          </cell>
          <cell r="AE2" t="str">
            <v>NEW</v>
          </cell>
        </row>
        <row r="3">
          <cell r="B3">
            <v>2009</v>
          </cell>
        </row>
        <row r="4">
          <cell r="A4" t="str">
            <v>2009PRB</v>
          </cell>
          <cell r="B4" t="str">
            <v>PRB</v>
          </cell>
          <cell r="C4">
            <v>0.35099999999999998</v>
          </cell>
          <cell r="D4">
            <v>0.35099999999999998</v>
          </cell>
          <cell r="E4">
            <v>0.35099999999999998</v>
          </cell>
          <cell r="F4">
            <v>0.35099999999999998</v>
          </cell>
          <cell r="G4">
            <v>0.45</v>
          </cell>
          <cell r="H4">
            <v>0.38</v>
          </cell>
          <cell r="I4">
            <v>0.44</v>
          </cell>
          <cell r="J4">
            <v>0.44</v>
          </cell>
          <cell r="K4">
            <v>0.45</v>
          </cell>
          <cell r="L4">
            <v>0.31240000000000001</v>
          </cell>
          <cell r="M4">
            <v>0.42159999999999997</v>
          </cell>
          <cell r="N4">
            <v>0.47249999999999998</v>
          </cell>
          <cell r="O4">
            <v>0.44</v>
          </cell>
          <cell r="P4">
            <v>0.44</v>
          </cell>
          <cell r="Q4">
            <v>0.35499999999999998</v>
          </cell>
          <cell r="R4">
            <v>0.44</v>
          </cell>
          <cell r="S4">
            <v>0.51219999999999999</v>
          </cell>
          <cell r="T4">
            <v>0.38750000000000001</v>
          </cell>
          <cell r="U4">
            <v>0.25</v>
          </cell>
          <cell r="V4">
            <v>0.34429999999999999</v>
          </cell>
          <cell r="W4">
            <v>0.34429999999999999</v>
          </cell>
          <cell r="X4">
            <v>0.34429999999999999</v>
          </cell>
          <cell r="Y4">
            <v>0.38750000000000001</v>
          </cell>
          <cell r="Z4">
            <v>0.25</v>
          </cell>
          <cell r="AA4">
            <v>0.25</v>
          </cell>
          <cell r="AB4">
            <v>0.32</v>
          </cell>
          <cell r="AC4">
            <v>0.34429999999999999</v>
          </cell>
          <cell r="AD4">
            <v>0.37409999999999999</v>
          </cell>
          <cell r="AE4">
            <v>0</v>
          </cell>
        </row>
        <row r="5">
          <cell r="A5" t="str">
            <v>2009Overhead - Offsite</v>
          </cell>
          <cell r="B5" t="str">
            <v>Overhead - Offsite</v>
          </cell>
          <cell r="C5">
            <v>0.17249999999999999</v>
          </cell>
          <cell r="D5">
            <v>6.5000000000000002E-2</v>
          </cell>
          <cell r="E5">
            <v>0.19500000000000001</v>
          </cell>
          <cell r="F5">
            <v>0.26500000000000001</v>
          </cell>
          <cell r="G5">
            <v>0.23</v>
          </cell>
          <cell r="H5">
            <v>0.11650000000000001</v>
          </cell>
          <cell r="I5">
            <v>0.22090000000000001</v>
          </cell>
          <cell r="J5">
            <v>0.3584</v>
          </cell>
          <cell r="K5">
            <v>0.38800000000000001</v>
          </cell>
          <cell r="L5">
            <v>0.1988</v>
          </cell>
          <cell r="M5">
            <v>0.1401</v>
          </cell>
          <cell r="N5">
            <v>0.32300000000000001</v>
          </cell>
          <cell r="O5">
            <v>0.16</v>
          </cell>
          <cell r="P5">
            <v>0.23</v>
          </cell>
          <cell r="Q5">
            <v>0.23</v>
          </cell>
          <cell r="R5">
            <v>0.22220000000000001</v>
          </cell>
          <cell r="S5" t="str">
            <v>n/a</v>
          </cell>
          <cell r="T5">
            <v>0.495</v>
          </cell>
          <cell r="U5">
            <v>0.495</v>
          </cell>
          <cell r="V5">
            <v>0.495</v>
          </cell>
          <cell r="W5">
            <v>0.495</v>
          </cell>
          <cell r="X5">
            <v>0.495</v>
          </cell>
          <cell r="Y5">
            <v>0.495</v>
          </cell>
          <cell r="Z5">
            <v>0.495</v>
          </cell>
          <cell r="AA5">
            <v>0.495</v>
          </cell>
          <cell r="AB5" t="str">
            <v>n/a</v>
          </cell>
          <cell r="AC5">
            <v>0.495</v>
          </cell>
          <cell r="AD5">
            <v>0.3</v>
          </cell>
          <cell r="AE5">
            <v>0</v>
          </cell>
        </row>
        <row r="6">
          <cell r="A6" t="str">
            <v>2009Overhead - Onsite</v>
          </cell>
          <cell r="B6" t="str">
            <v>Overhead - Onsite</v>
          </cell>
          <cell r="C6">
            <v>3.1E-2</v>
          </cell>
          <cell r="D6">
            <v>3.1E-2</v>
          </cell>
          <cell r="E6">
            <v>2.5499999999999998E-2</v>
          </cell>
          <cell r="F6">
            <v>2.5499999999999998E-2</v>
          </cell>
          <cell r="G6">
            <v>0.06</v>
          </cell>
          <cell r="H6">
            <v>1.7899999999999999E-2</v>
          </cell>
          <cell r="I6" t="str">
            <v>n/a</v>
          </cell>
          <cell r="J6">
            <v>6.1400000000000003E-2</v>
          </cell>
          <cell r="K6" t="str">
            <v>n/a</v>
          </cell>
          <cell r="L6">
            <v>2.23E-2</v>
          </cell>
          <cell r="M6" t="str">
            <v>n/a</v>
          </cell>
          <cell r="N6">
            <v>8.3699999999999997E-2</v>
          </cell>
          <cell r="O6">
            <v>0.16</v>
          </cell>
          <cell r="P6">
            <v>0.06</v>
          </cell>
          <cell r="Q6">
            <v>0.06</v>
          </cell>
          <cell r="R6">
            <v>2.6200000000000001E-2</v>
          </cell>
          <cell r="S6">
            <v>0.17499999999999999</v>
          </cell>
          <cell r="T6">
            <v>8.5000000000000006E-2</v>
          </cell>
          <cell r="U6">
            <v>8.5000000000000006E-2</v>
          </cell>
          <cell r="V6">
            <v>8.5000000000000006E-2</v>
          </cell>
          <cell r="W6">
            <v>0.1825</v>
          </cell>
          <cell r="X6">
            <v>6.5000000000000002E-2</v>
          </cell>
          <cell r="Y6">
            <v>6.5000000000000002E-2</v>
          </cell>
          <cell r="Z6">
            <v>6.5000000000000002E-2</v>
          </cell>
          <cell r="AA6">
            <v>0.1825</v>
          </cell>
          <cell r="AB6">
            <v>6.5000000000000002E-2</v>
          </cell>
          <cell r="AC6" t="str">
            <v>n/a</v>
          </cell>
          <cell r="AD6">
            <v>6.5000000000000002E-2</v>
          </cell>
          <cell r="AE6">
            <v>0</v>
          </cell>
        </row>
        <row r="7">
          <cell r="A7" t="str">
            <v>2009Material Handling</v>
          </cell>
          <cell r="B7" t="str">
            <v>Material Handling</v>
          </cell>
          <cell r="C7">
            <v>3.1E-2</v>
          </cell>
          <cell r="D7">
            <v>3.1E-2</v>
          </cell>
          <cell r="E7">
            <v>3.1E-2</v>
          </cell>
          <cell r="F7">
            <v>3.1E-2</v>
          </cell>
          <cell r="G7">
            <v>0.14000000000000001</v>
          </cell>
          <cell r="H7">
            <v>2.5000000000000001E-2</v>
          </cell>
          <cell r="I7">
            <v>4.3499999999999997E-2</v>
          </cell>
          <cell r="J7">
            <v>4.3499999999999997E-2</v>
          </cell>
          <cell r="K7">
            <v>2.5000000000000001E-2</v>
          </cell>
          <cell r="L7">
            <v>3.1699999999999999E-2</v>
          </cell>
          <cell r="M7">
            <v>3.1699999999999999E-2</v>
          </cell>
          <cell r="N7">
            <v>4.9700000000000001E-2</v>
          </cell>
          <cell r="O7">
            <v>0</v>
          </cell>
          <cell r="P7">
            <v>3.6999999999999998E-2</v>
          </cell>
          <cell r="Q7">
            <v>3.6999999999999998E-2</v>
          </cell>
          <cell r="R7">
            <v>5.7599999999999998E-2</v>
          </cell>
          <cell r="S7">
            <v>5.7599999999999998E-2</v>
          </cell>
          <cell r="T7">
            <v>4.2999999999999997E-2</v>
          </cell>
          <cell r="U7">
            <v>4.2999999999999997E-2</v>
          </cell>
          <cell r="V7">
            <v>4.2999999999999997E-2</v>
          </cell>
          <cell r="W7">
            <v>4.2999999999999997E-2</v>
          </cell>
          <cell r="X7">
            <v>4.2999999999999997E-2</v>
          </cell>
          <cell r="Y7">
            <v>4.2999999999999997E-2</v>
          </cell>
          <cell r="Z7">
            <v>4.2999999999999997E-2</v>
          </cell>
          <cell r="AA7">
            <v>4.2999999999999997E-2</v>
          </cell>
          <cell r="AB7">
            <v>4.2999999999999997E-2</v>
          </cell>
          <cell r="AC7">
            <v>4.2999999999999997E-2</v>
          </cell>
          <cell r="AD7">
            <v>0.04</v>
          </cell>
          <cell r="AE7">
            <v>0</v>
          </cell>
        </row>
        <row r="8">
          <cell r="A8" t="str">
            <v>2009G&amp;A</v>
          </cell>
          <cell r="B8" t="str">
            <v>G&amp;A</v>
          </cell>
          <cell r="C8">
            <v>9.5699999999999993E-2</v>
          </cell>
          <cell r="D8">
            <v>9.5699999999999993E-2</v>
          </cell>
          <cell r="E8">
            <v>0.125</v>
          </cell>
          <cell r="F8">
            <v>0.125</v>
          </cell>
          <cell r="G8">
            <v>0.14000000000000001</v>
          </cell>
          <cell r="H8">
            <v>9.7799999999999998E-2</v>
          </cell>
          <cell r="I8">
            <v>0.15379999999999999</v>
          </cell>
          <cell r="J8">
            <v>0.15379999999999999</v>
          </cell>
          <cell r="K8">
            <v>0.19500000000000001</v>
          </cell>
          <cell r="L8">
            <v>9.7500000000000003E-2</v>
          </cell>
          <cell r="M8">
            <v>9.7500000000000003E-2</v>
          </cell>
          <cell r="N8">
            <v>0.16</v>
          </cell>
          <cell r="O8">
            <v>0.14000000000000001</v>
          </cell>
          <cell r="P8">
            <v>0.15</v>
          </cell>
          <cell r="Q8">
            <v>0.15</v>
          </cell>
          <cell r="R8">
            <v>0.1595</v>
          </cell>
          <cell r="S8">
            <v>0.1595</v>
          </cell>
          <cell r="T8">
            <v>0.13750000000000001</v>
          </cell>
          <cell r="U8">
            <v>0.13750000000000001</v>
          </cell>
          <cell r="V8">
            <v>0.13750000000000001</v>
          </cell>
          <cell r="W8">
            <v>0.13750000000000001</v>
          </cell>
          <cell r="X8">
            <v>0.13750000000000001</v>
          </cell>
          <cell r="Y8">
            <v>0.13750000000000001</v>
          </cell>
          <cell r="Z8">
            <v>0.13750000000000001</v>
          </cell>
          <cell r="AA8">
            <v>0.13750000000000001</v>
          </cell>
          <cell r="AB8">
            <v>0.13750000000000001</v>
          </cell>
          <cell r="AC8">
            <v>0.17499999999999999</v>
          </cell>
          <cell r="AD8">
            <v>0.14149999999999999</v>
          </cell>
          <cell r="AE8">
            <v>0</v>
          </cell>
        </row>
        <row r="9">
          <cell r="B9" t="str">
            <v>Wrap - On</v>
          </cell>
          <cell r="C9">
            <v>1.5261797116999996</v>
          </cell>
          <cell r="D9">
            <v>1.5261797116999996</v>
          </cell>
          <cell r="E9">
            <v>1.5586318125000003</v>
          </cell>
          <cell r="F9">
            <v>1.5586318125000003</v>
          </cell>
          <cell r="G9">
            <v>1.7521800000000001</v>
          </cell>
          <cell r="H9">
            <v>1.5420818555999998</v>
          </cell>
          <cell r="I9" t="str">
            <v>n/a</v>
          </cell>
          <cell r="J9">
            <v>1.7634863807999996</v>
          </cell>
          <cell r="K9" t="str">
            <v>n/a</v>
          </cell>
          <cell r="L9">
            <v>1.4724790056999999</v>
          </cell>
          <cell r="M9" t="str">
            <v>n/a</v>
          </cell>
          <cell r="N9">
            <v>1.8510679699999997</v>
          </cell>
          <cell r="O9">
            <v>1.9042560000000002</v>
          </cell>
          <cell r="P9">
            <v>1.7553599999999998</v>
          </cell>
          <cell r="Q9">
            <v>1.651745</v>
          </cell>
          <cell r="R9">
            <v>1.7134256159999999</v>
          </cell>
          <cell r="S9">
            <v>2.0602401825000003</v>
          </cell>
          <cell r="T9">
            <v>1.71243515625</v>
          </cell>
          <cell r="U9">
            <v>1.542734375</v>
          </cell>
          <cell r="V9">
            <v>1.65911825625</v>
          </cell>
          <cell r="W9">
            <v>1.8082095281250001</v>
          </cell>
          <cell r="X9">
            <v>1.62853543125</v>
          </cell>
          <cell r="Y9">
            <v>1.6808695312499997</v>
          </cell>
          <cell r="Z9">
            <v>1.5142968749999997</v>
          </cell>
          <cell r="AA9">
            <v>1.6813671875</v>
          </cell>
          <cell r="AB9">
            <v>1.5990974999999998</v>
          </cell>
          <cell r="AC9" t="str">
            <v>n/a</v>
          </cell>
          <cell r="AD9">
            <v>1.6704899347499997</v>
          </cell>
          <cell r="AE9">
            <v>1</v>
          </cell>
        </row>
        <row r="10">
          <cell r="B10" t="str">
            <v>Wrap - Off</v>
          </cell>
          <cell r="C10">
            <v>1.7356408457499997</v>
          </cell>
          <cell r="D10">
            <v>1.5765095954999997</v>
          </cell>
          <cell r="E10">
            <v>1.8162506250000001</v>
          </cell>
          <cell r="F10">
            <v>1.9226418750000003</v>
          </cell>
          <cell r="G10">
            <v>2.0331900000000003</v>
          </cell>
          <cell r="H10">
            <v>1.6914573059999998</v>
          </cell>
          <cell r="I10">
            <v>2.0284911648000001</v>
          </cell>
          <cell r="J10">
            <v>2.2569435647999998</v>
          </cell>
          <cell r="K10">
            <v>2.4050570000000002</v>
          </cell>
          <cell r="L10">
            <v>1.7267023692000001</v>
          </cell>
          <cell r="M10">
            <v>1.7787908605999998</v>
          </cell>
          <cell r="N10">
            <v>2.2598162999999993</v>
          </cell>
          <cell r="O10">
            <v>1.9042560000000002</v>
          </cell>
          <cell r="P10">
            <v>2.0368799999999996</v>
          </cell>
          <cell r="Q10">
            <v>1.9166474999999998</v>
          </cell>
          <cell r="R10">
            <v>2.0406828959999999</v>
          </cell>
          <cell r="S10" t="str">
            <v>n/a</v>
          </cell>
          <cell r="T10">
            <v>2.3595304687500001</v>
          </cell>
          <cell r="U10">
            <v>2.1257031250000002</v>
          </cell>
          <cell r="V10">
            <v>2.2860661687500001</v>
          </cell>
          <cell r="W10">
            <v>2.2860661687500001</v>
          </cell>
          <cell r="X10">
            <v>2.2860661687500001</v>
          </cell>
          <cell r="Y10">
            <v>2.3595304687500001</v>
          </cell>
          <cell r="Z10">
            <v>2.1257031250000002</v>
          </cell>
          <cell r="AA10">
            <v>2.1257031250000002</v>
          </cell>
          <cell r="AB10" t="str">
            <v>n/a</v>
          </cell>
          <cell r="AC10">
            <v>2.3614309874999999</v>
          </cell>
          <cell r="AD10">
            <v>2.0390956949999999</v>
          </cell>
          <cell r="AE10">
            <v>1</v>
          </cell>
        </row>
        <row r="11">
          <cell r="B11">
            <v>2010</v>
          </cell>
        </row>
        <row r="12">
          <cell r="A12" t="str">
            <v>2010PRB</v>
          </cell>
          <cell r="B12" t="str">
            <v>PRB</v>
          </cell>
          <cell r="C12">
            <v>0.35099999999999998</v>
          </cell>
          <cell r="D12">
            <v>0.35099999999999998</v>
          </cell>
          <cell r="E12">
            <v>0.35099999999999998</v>
          </cell>
          <cell r="F12">
            <v>0.35099999999999998</v>
          </cell>
          <cell r="G12">
            <v>0.45</v>
          </cell>
          <cell r="H12">
            <v>0.38</v>
          </cell>
          <cell r="I12">
            <v>0.44</v>
          </cell>
          <cell r="J12">
            <v>0.44</v>
          </cell>
          <cell r="K12">
            <v>0.45</v>
          </cell>
          <cell r="L12">
            <v>0.31240000000000001</v>
          </cell>
          <cell r="M12">
            <v>0.42159999999999997</v>
          </cell>
          <cell r="N12">
            <v>0.47249999999999998</v>
          </cell>
          <cell r="O12">
            <v>0.43</v>
          </cell>
          <cell r="P12">
            <v>0.43</v>
          </cell>
          <cell r="Q12">
            <v>0.35499999999999998</v>
          </cell>
          <cell r="R12">
            <v>0.43</v>
          </cell>
          <cell r="S12">
            <v>0.51219999999999999</v>
          </cell>
          <cell r="T12">
            <v>0.38750000000000001</v>
          </cell>
          <cell r="U12">
            <v>0.25</v>
          </cell>
          <cell r="V12">
            <v>0.34429999999999999</v>
          </cell>
          <cell r="W12">
            <v>0.34429999999999999</v>
          </cell>
          <cell r="X12">
            <v>0.34429999999999999</v>
          </cell>
          <cell r="Y12">
            <v>0.38750000000000001</v>
          </cell>
          <cell r="Z12">
            <v>0.25</v>
          </cell>
          <cell r="AA12">
            <v>0.25</v>
          </cell>
          <cell r="AB12">
            <v>0.32</v>
          </cell>
          <cell r="AC12">
            <v>0.34429999999999999</v>
          </cell>
          <cell r="AD12">
            <v>0.37409999999999999</v>
          </cell>
          <cell r="AE12">
            <v>0</v>
          </cell>
        </row>
        <row r="13">
          <cell r="A13" t="str">
            <v>2010Overhead - Offsite</v>
          </cell>
          <cell r="B13" t="str">
            <v>Overhead - Offsite</v>
          </cell>
          <cell r="C13">
            <v>0.17249999999999999</v>
          </cell>
          <cell r="D13">
            <v>6.5000000000000002E-2</v>
          </cell>
          <cell r="E13">
            <v>0.19500000000000001</v>
          </cell>
          <cell r="F13">
            <v>0.26500000000000001</v>
          </cell>
          <cell r="G13">
            <v>0.23</v>
          </cell>
          <cell r="H13">
            <v>0.11650000000000001</v>
          </cell>
          <cell r="I13">
            <v>0.22090000000000001</v>
          </cell>
          <cell r="J13">
            <v>0.3584</v>
          </cell>
          <cell r="K13">
            <v>0.38800000000000001</v>
          </cell>
          <cell r="L13">
            <v>0.1988</v>
          </cell>
          <cell r="M13">
            <v>0.1401</v>
          </cell>
          <cell r="N13">
            <v>0.32300000000000001</v>
          </cell>
          <cell r="O13">
            <v>0.15079999999999999</v>
          </cell>
          <cell r="P13">
            <v>0.21990000000000001</v>
          </cell>
          <cell r="Q13">
            <v>0.21990000000000001</v>
          </cell>
          <cell r="R13">
            <v>0.2132</v>
          </cell>
          <cell r="S13" t="str">
            <v>n/a</v>
          </cell>
          <cell r="T13">
            <v>0.495</v>
          </cell>
          <cell r="U13">
            <v>0.495</v>
          </cell>
          <cell r="V13">
            <v>0.495</v>
          </cell>
          <cell r="W13">
            <v>0.495</v>
          </cell>
          <cell r="X13">
            <v>0.495</v>
          </cell>
          <cell r="Y13">
            <v>0.495</v>
          </cell>
          <cell r="Z13">
            <v>0.495</v>
          </cell>
          <cell r="AA13">
            <v>0.495</v>
          </cell>
          <cell r="AB13" t="str">
            <v>n/a</v>
          </cell>
          <cell r="AC13">
            <v>0.495</v>
          </cell>
          <cell r="AD13">
            <v>0.3</v>
          </cell>
          <cell r="AE13">
            <v>0</v>
          </cell>
        </row>
        <row r="14">
          <cell r="A14" t="str">
            <v>2010Overhead - Onsite</v>
          </cell>
          <cell r="B14" t="str">
            <v>Overhead - Onsite</v>
          </cell>
          <cell r="C14">
            <v>3.1E-2</v>
          </cell>
          <cell r="D14">
            <v>3.1E-2</v>
          </cell>
          <cell r="E14">
            <v>2.5499999999999998E-2</v>
          </cell>
          <cell r="F14">
            <v>2.5499999999999998E-2</v>
          </cell>
          <cell r="G14">
            <v>0.06</v>
          </cell>
          <cell r="H14">
            <v>1.7899999999999999E-2</v>
          </cell>
          <cell r="I14" t="str">
            <v>n/a</v>
          </cell>
          <cell r="J14">
            <v>6.1400000000000003E-2</v>
          </cell>
          <cell r="K14" t="str">
            <v>n/a</v>
          </cell>
          <cell r="L14">
            <v>2.23E-2</v>
          </cell>
          <cell r="M14" t="str">
            <v>n/a</v>
          </cell>
          <cell r="N14">
            <v>8.3699999999999997E-2</v>
          </cell>
          <cell r="O14">
            <v>0.15079999999999999</v>
          </cell>
          <cell r="P14">
            <v>0.05</v>
          </cell>
          <cell r="Q14">
            <v>0.05</v>
          </cell>
          <cell r="R14">
            <v>1.6500000000000001E-2</v>
          </cell>
          <cell r="S14">
            <v>0.17499999999999999</v>
          </cell>
          <cell r="T14">
            <v>8.5000000000000006E-2</v>
          </cell>
          <cell r="U14">
            <v>8.5000000000000006E-2</v>
          </cell>
          <cell r="V14">
            <v>8.5000000000000006E-2</v>
          </cell>
          <cell r="W14">
            <v>0.1825</v>
          </cell>
          <cell r="X14">
            <v>6.5000000000000002E-2</v>
          </cell>
          <cell r="Y14">
            <v>6.5000000000000002E-2</v>
          </cell>
          <cell r="Z14">
            <v>6.5000000000000002E-2</v>
          </cell>
          <cell r="AA14">
            <v>0.1825</v>
          </cell>
          <cell r="AB14">
            <v>6.5000000000000002E-2</v>
          </cell>
          <cell r="AC14" t="str">
            <v>n/a</v>
          </cell>
          <cell r="AD14">
            <v>6.5000000000000002E-2</v>
          </cell>
          <cell r="AE14">
            <v>0</v>
          </cell>
        </row>
        <row r="15">
          <cell r="A15" t="str">
            <v>2010Material Handling</v>
          </cell>
          <cell r="B15" t="str">
            <v>Material Handling</v>
          </cell>
          <cell r="C15">
            <v>3.0300000000000001E-2</v>
          </cell>
          <cell r="D15">
            <v>3.0300000000000001E-2</v>
          </cell>
          <cell r="E15">
            <v>2.98E-2</v>
          </cell>
          <cell r="F15">
            <v>2.98E-2</v>
          </cell>
          <cell r="G15">
            <v>0.13739999999999999</v>
          </cell>
          <cell r="H15">
            <v>2.4299999999999999E-2</v>
          </cell>
          <cell r="I15">
            <v>4.2999999999999997E-2</v>
          </cell>
          <cell r="J15">
            <v>4.2999999999999997E-2</v>
          </cell>
          <cell r="K15">
            <v>2.3699999999999999E-2</v>
          </cell>
          <cell r="L15">
            <v>3.0700000000000002E-2</v>
          </cell>
          <cell r="M15">
            <v>3.0700000000000002E-2</v>
          </cell>
          <cell r="N15">
            <v>4.8500000000000001E-2</v>
          </cell>
          <cell r="O15">
            <v>0</v>
          </cell>
          <cell r="P15">
            <v>3.6200000000000003E-2</v>
          </cell>
          <cell r="Q15">
            <v>3.6200000000000003E-2</v>
          </cell>
          <cell r="R15">
            <v>5.6599999999999998E-2</v>
          </cell>
          <cell r="S15">
            <v>5.6599999999999998E-2</v>
          </cell>
          <cell r="T15">
            <v>4.1799999999999997E-2</v>
          </cell>
          <cell r="U15">
            <v>4.1799999999999997E-2</v>
          </cell>
          <cell r="V15">
            <v>4.1799999999999997E-2</v>
          </cell>
          <cell r="W15">
            <v>4.1799999999999997E-2</v>
          </cell>
          <cell r="X15">
            <v>4.1799999999999997E-2</v>
          </cell>
          <cell r="Y15">
            <v>4.1799999999999997E-2</v>
          </cell>
          <cell r="Z15">
            <v>4.1799999999999997E-2</v>
          </cell>
          <cell r="AA15">
            <v>4.1799999999999997E-2</v>
          </cell>
          <cell r="AB15">
            <v>4.1799999999999997E-2</v>
          </cell>
          <cell r="AC15">
            <v>4.1799999999999997E-2</v>
          </cell>
          <cell r="AD15">
            <v>3.8800000000000001E-2</v>
          </cell>
          <cell r="AE15">
            <v>0</v>
          </cell>
        </row>
        <row r="16">
          <cell r="A16" t="str">
            <v>2010G&amp;A</v>
          </cell>
          <cell r="B16" t="str">
            <v>G&amp;A</v>
          </cell>
          <cell r="C16">
            <v>9.3100000000000002E-2</v>
          </cell>
          <cell r="D16">
            <v>9.3100000000000002E-2</v>
          </cell>
          <cell r="E16">
            <v>0.12239999999999999</v>
          </cell>
          <cell r="F16">
            <v>0.12239999999999999</v>
          </cell>
          <cell r="G16">
            <v>0.13739999999999999</v>
          </cell>
          <cell r="H16">
            <v>9.4500000000000001E-2</v>
          </cell>
          <cell r="I16">
            <v>0.15110000000000001</v>
          </cell>
          <cell r="J16">
            <v>0.15110000000000001</v>
          </cell>
          <cell r="K16">
            <v>0.19209999999999999</v>
          </cell>
          <cell r="L16">
            <v>9.4700000000000006E-2</v>
          </cell>
          <cell r="M16">
            <v>9.4700000000000006E-2</v>
          </cell>
          <cell r="N16">
            <v>0.15590000000000001</v>
          </cell>
          <cell r="O16">
            <v>0.13819999999999999</v>
          </cell>
          <cell r="P16">
            <v>0.13300000000000001</v>
          </cell>
          <cell r="Q16">
            <v>0.13300000000000001</v>
          </cell>
          <cell r="R16">
            <v>0.16039999999999999</v>
          </cell>
          <cell r="S16">
            <v>0.16039999999999999</v>
          </cell>
          <cell r="T16">
            <v>0.13469999999999999</v>
          </cell>
          <cell r="U16">
            <v>0.13469999999999999</v>
          </cell>
          <cell r="V16">
            <v>0.13469999999999999</v>
          </cell>
          <cell r="W16">
            <v>0.13469999999999999</v>
          </cell>
          <cell r="X16">
            <v>0.13469999999999999</v>
          </cell>
          <cell r="Y16">
            <v>0.13469999999999999</v>
          </cell>
          <cell r="Z16">
            <v>0.13469999999999999</v>
          </cell>
          <cell r="AA16">
            <v>0.13469999999999999</v>
          </cell>
          <cell r="AB16">
            <v>0.13469999999999999</v>
          </cell>
          <cell r="AC16">
            <v>0.17219999999999999</v>
          </cell>
          <cell r="AD16">
            <v>0.13819999999999999</v>
          </cell>
          <cell r="AE16">
            <v>0</v>
          </cell>
        </row>
        <row r="17">
          <cell r="B17" t="str">
            <v>Wrap - On</v>
          </cell>
          <cell r="C17">
            <v>1.5225582210999997</v>
          </cell>
          <cell r="D17">
            <v>1.5225582210999997</v>
          </cell>
          <cell r="E17">
            <v>1.5550296412000002</v>
          </cell>
          <cell r="F17">
            <v>1.5550296412000002</v>
          </cell>
          <cell r="G17">
            <v>1.7481837999999998</v>
          </cell>
          <cell r="H17">
            <v>1.5374463389999999</v>
          </cell>
          <cell r="I17" t="str">
            <v>n/a</v>
          </cell>
          <cell r="J17">
            <v>1.7593596575999997</v>
          </cell>
          <cell r="K17" t="str">
            <v>n/a</v>
          </cell>
          <cell r="L17">
            <v>1.4687223394439999</v>
          </cell>
          <cell r="M17" t="str">
            <v>n/a</v>
          </cell>
          <cell r="N17">
            <v>1.8445254021749995</v>
          </cell>
          <cell r="O17">
            <v>1.8730720007999997</v>
          </cell>
          <cell r="P17">
            <v>1.7011995</v>
          </cell>
          <cell r="Q17">
            <v>1.61197575</v>
          </cell>
          <cell r="R17">
            <v>1.6867516380000001</v>
          </cell>
          <cell r="S17">
            <v>2.0618393340000005</v>
          </cell>
          <cell r="T17">
            <v>1.7082199312499999</v>
          </cell>
          <cell r="U17">
            <v>1.5389368750000001</v>
          </cell>
          <cell r="V17">
            <v>1.65503427285</v>
          </cell>
          <cell r="W17">
            <v>1.8037585508250003</v>
          </cell>
          <cell r="X17">
            <v>1.62452672865</v>
          </cell>
          <cell r="Y17">
            <v>1.67673200625</v>
          </cell>
          <cell r="Z17">
            <v>1.5105693749999998</v>
          </cell>
          <cell r="AA17">
            <v>1.6772284375000002</v>
          </cell>
          <cell r="AB17">
            <v>1.59516126</v>
          </cell>
          <cell r="AC17" t="str">
            <v>n/a</v>
          </cell>
          <cell r="AD17">
            <v>1.6656606602999997</v>
          </cell>
          <cell r="AE17">
            <v>1</v>
          </cell>
        </row>
        <row r="18">
          <cell r="B18" t="str">
            <v>Wrap - Off</v>
          </cell>
          <cell r="C18">
            <v>1.7315223222499998</v>
          </cell>
          <cell r="D18">
            <v>1.5727686765</v>
          </cell>
          <cell r="E18">
            <v>1.8120530680000002</v>
          </cell>
          <cell r="F18">
            <v>1.9181984360000004</v>
          </cell>
          <cell r="G18">
            <v>2.0285528999999998</v>
          </cell>
          <cell r="H18">
            <v>1.686372765</v>
          </cell>
          <cell r="I18">
            <v>2.0237443056000002</v>
          </cell>
          <cell r="J18">
            <v>2.2516621055999999</v>
          </cell>
          <cell r="K18">
            <v>2.39922046</v>
          </cell>
          <cell r="L18">
            <v>1.7222971148640001</v>
          </cell>
          <cell r="M18">
            <v>1.7742527153519998</v>
          </cell>
          <cell r="N18">
            <v>2.2518290182499996</v>
          </cell>
          <cell r="O18">
            <v>1.8730720007999997</v>
          </cell>
          <cell r="P18">
            <v>1.976469781</v>
          </cell>
          <cell r="Q18">
            <v>1.8728087785</v>
          </cell>
          <cell r="R18">
            <v>2.0131501104000002</v>
          </cell>
          <cell r="S18" t="str">
            <v>n/a</v>
          </cell>
          <cell r="T18">
            <v>2.35372239375</v>
          </cell>
          <cell r="U18">
            <v>2.1204706250000003</v>
          </cell>
          <cell r="V18">
            <v>2.2804389289500002</v>
          </cell>
          <cell r="W18">
            <v>2.2804389289500002</v>
          </cell>
          <cell r="X18">
            <v>2.2804389289500002</v>
          </cell>
          <cell r="Y18">
            <v>2.35372239375</v>
          </cell>
          <cell r="Z18">
            <v>2.1204706250000003</v>
          </cell>
          <cell r="AA18">
            <v>2.1204706250000003</v>
          </cell>
          <cell r="AB18" t="str">
            <v>n/a</v>
          </cell>
          <cell r="AC18">
            <v>2.3558037477</v>
          </cell>
          <cell r="AD18">
            <v>2.033200806</v>
          </cell>
          <cell r="AE18">
            <v>1</v>
          </cell>
        </row>
        <row r="19">
          <cell r="B19">
            <v>2011</v>
          </cell>
        </row>
        <row r="20">
          <cell r="A20" t="str">
            <v>2011PRB</v>
          </cell>
          <cell r="B20" t="str">
            <v>PRB</v>
          </cell>
          <cell r="C20">
            <v>0.35099999999999998</v>
          </cell>
          <cell r="D20">
            <v>0.35099999999999998</v>
          </cell>
          <cell r="E20">
            <v>0.35099999999999998</v>
          </cell>
          <cell r="F20">
            <v>0.35099999999999998</v>
          </cell>
          <cell r="G20">
            <v>0.45</v>
          </cell>
          <cell r="H20">
            <v>0.38</v>
          </cell>
          <cell r="I20">
            <v>0.44</v>
          </cell>
          <cell r="J20">
            <v>0.44</v>
          </cell>
          <cell r="K20">
            <v>0.45</v>
          </cell>
          <cell r="L20">
            <v>0.31240000000000001</v>
          </cell>
          <cell r="M20">
            <v>0.42159999999999997</v>
          </cell>
          <cell r="N20">
            <v>0.47249999999999998</v>
          </cell>
          <cell r="O20">
            <v>0.43</v>
          </cell>
          <cell r="P20">
            <v>0.43</v>
          </cell>
          <cell r="Q20">
            <v>0.35499999999999998</v>
          </cell>
          <cell r="R20">
            <v>0.43</v>
          </cell>
          <cell r="S20">
            <v>0.51219999999999999</v>
          </cell>
          <cell r="T20">
            <v>0.38750000000000001</v>
          </cell>
          <cell r="U20">
            <v>0.25</v>
          </cell>
          <cell r="V20">
            <v>0.34429999999999999</v>
          </cell>
          <cell r="W20">
            <v>0.34429999999999999</v>
          </cell>
          <cell r="X20">
            <v>0.34429999999999999</v>
          </cell>
          <cell r="Y20">
            <v>0.38750000000000001</v>
          </cell>
          <cell r="Z20">
            <v>0.25</v>
          </cell>
          <cell r="AA20">
            <v>0.25</v>
          </cell>
          <cell r="AB20">
            <v>0.32</v>
          </cell>
          <cell r="AC20">
            <v>0.34429999999999999</v>
          </cell>
          <cell r="AD20">
            <v>0.37409999999999999</v>
          </cell>
          <cell r="AE20">
            <v>0</v>
          </cell>
        </row>
        <row r="21">
          <cell r="A21" t="str">
            <v>2011Overhead - Offsite</v>
          </cell>
          <cell r="B21" t="str">
            <v>Overhead - Offsite</v>
          </cell>
          <cell r="C21">
            <v>0.17249999999999999</v>
          </cell>
          <cell r="D21">
            <v>6.5000000000000002E-2</v>
          </cell>
          <cell r="E21">
            <v>0.19500000000000001</v>
          </cell>
          <cell r="F21">
            <v>0.26500000000000001</v>
          </cell>
          <cell r="G21">
            <v>0.23</v>
          </cell>
          <cell r="H21">
            <v>0.11650000000000001</v>
          </cell>
          <cell r="I21">
            <v>0.22090000000000001</v>
          </cell>
          <cell r="J21">
            <v>0.3584</v>
          </cell>
          <cell r="K21">
            <v>0.38800000000000001</v>
          </cell>
          <cell r="L21">
            <v>0.1988</v>
          </cell>
          <cell r="M21">
            <v>0.1401</v>
          </cell>
          <cell r="N21">
            <v>0.32300000000000001</v>
          </cell>
          <cell r="O21">
            <v>0.15079999999999999</v>
          </cell>
          <cell r="P21">
            <v>0.21990000000000001</v>
          </cell>
          <cell r="Q21">
            <v>0.21990000000000001</v>
          </cell>
          <cell r="R21">
            <v>0.2132</v>
          </cell>
          <cell r="S21" t="str">
            <v>n/a</v>
          </cell>
          <cell r="T21">
            <v>0.495</v>
          </cell>
          <cell r="U21">
            <v>0.495</v>
          </cell>
          <cell r="V21">
            <v>0.495</v>
          </cell>
          <cell r="W21">
            <v>0.495</v>
          </cell>
          <cell r="X21">
            <v>0.495</v>
          </cell>
          <cell r="Y21">
            <v>0.495</v>
          </cell>
          <cell r="Z21">
            <v>0.495</v>
          </cell>
          <cell r="AA21">
            <v>0.495</v>
          </cell>
          <cell r="AB21" t="str">
            <v>n/a</v>
          </cell>
          <cell r="AC21">
            <v>0.495</v>
          </cell>
          <cell r="AD21">
            <v>0.3</v>
          </cell>
          <cell r="AE21">
            <v>0</v>
          </cell>
        </row>
        <row r="22">
          <cell r="A22" t="str">
            <v>2011Overhead - Onsite</v>
          </cell>
          <cell r="B22" t="str">
            <v>Overhead - Onsite</v>
          </cell>
          <cell r="C22">
            <v>3.1E-2</v>
          </cell>
          <cell r="D22">
            <v>3.1E-2</v>
          </cell>
          <cell r="E22">
            <v>2.5499999999999998E-2</v>
          </cell>
          <cell r="F22">
            <v>2.5499999999999998E-2</v>
          </cell>
          <cell r="G22">
            <v>0.06</v>
          </cell>
          <cell r="H22">
            <v>1.7899999999999999E-2</v>
          </cell>
          <cell r="I22" t="str">
            <v>n/a</v>
          </cell>
          <cell r="J22">
            <v>6.1400000000000003E-2</v>
          </cell>
          <cell r="K22" t="str">
            <v>n/a</v>
          </cell>
          <cell r="L22">
            <v>2.23E-2</v>
          </cell>
          <cell r="M22" t="str">
            <v>n/a</v>
          </cell>
          <cell r="N22">
            <v>8.3699999999999997E-2</v>
          </cell>
          <cell r="O22">
            <v>0.15079999999999999</v>
          </cell>
          <cell r="P22">
            <v>0.05</v>
          </cell>
          <cell r="Q22">
            <v>0.05</v>
          </cell>
          <cell r="R22">
            <v>1.6500000000000001E-2</v>
          </cell>
          <cell r="S22">
            <v>0.17499999999999999</v>
          </cell>
          <cell r="T22">
            <v>8.5000000000000006E-2</v>
          </cell>
          <cell r="U22">
            <v>8.5000000000000006E-2</v>
          </cell>
          <cell r="V22">
            <v>8.5000000000000006E-2</v>
          </cell>
          <cell r="W22">
            <v>0.1825</v>
          </cell>
          <cell r="X22">
            <v>6.5000000000000002E-2</v>
          </cell>
          <cell r="Y22">
            <v>6.5000000000000002E-2</v>
          </cell>
          <cell r="Z22">
            <v>6.5000000000000002E-2</v>
          </cell>
          <cell r="AA22">
            <v>0.1825</v>
          </cell>
          <cell r="AB22">
            <v>6.5000000000000002E-2</v>
          </cell>
          <cell r="AC22" t="str">
            <v>n/a</v>
          </cell>
          <cell r="AD22">
            <v>6.5000000000000002E-2</v>
          </cell>
          <cell r="AE22">
            <v>0</v>
          </cell>
        </row>
        <row r="23">
          <cell r="A23" t="str">
            <v>2011Material Handling</v>
          </cell>
          <cell r="B23" t="str">
            <v>Material Handling</v>
          </cell>
          <cell r="C23">
            <v>2.93E-2</v>
          </cell>
          <cell r="D23">
            <v>2.93E-2</v>
          </cell>
          <cell r="E23">
            <v>2.8899999999999999E-2</v>
          </cell>
          <cell r="F23">
            <v>2.8899999999999999E-2</v>
          </cell>
          <cell r="G23">
            <v>0.13489999999999999</v>
          </cell>
          <cell r="H23">
            <v>2.3699999999999999E-2</v>
          </cell>
          <cell r="I23">
            <v>4.24E-2</v>
          </cell>
          <cell r="J23">
            <v>4.24E-2</v>
          </cell>
          <cell r="K23">
            <v>2.2700000000000001E-2</v>
          </cell>
          <cell r="L23">
            <v>2.9700000000000001E-2</v>
          </cell>
          <cell r="M23">
            <v>2.9700000000000001E-2</v>
          </cell>
          <cell r="N23">
            <v>4.7600000000000003E-2</v>
          </cell>
          <cell r="O23">
            <v>0</v>
          </cell>
          <cell r="P23">
            <v>3.5200000000000002E-2</v>
          </cell>
          <cell r="Q23">
            <v>3.5200000000000002E-2</v>
          </cell>
          <cell r="R23">
            <v>5.5599999999999997E-2</v>
          </cell>
          <cell r="S23">
            <v>5.5599999999999997E-2</v>
          </cell>
          <cell r="T23">
            <v>4.0899999999999999E-2</v>
          </cell>
          <cell r="U23">
            <v>4.0899999999999999E-2</v>
          </cell>
          <cell r="V23">
            <v>4.0899999999999999E-2</v>
          </cell>
          <cell r="W23">
            <v>4.0899999999999999E-2</v>
          </cell>
          <cell r="X23">
            <v>4.0899999999999999E-2</v>
          </cell>
          <cell r="Y23">
            <v>4.0899999999999999E-2</v>
          </cell>
          <cell r="Z23">
            <v>4.0899999999999999E-2</v>
          </cell>
          <cell r="AA23">
            <v>4.0899999999999999E-2</v>
          </cell>
          <cell r="AB23">
            <v>4.0899999999999999E-2</v>
          </cell>
          <cell r="AC23">
            <v>4.0899999999999999E-2</v>
          </cell>
          <cell r="AD23">
            <v>3.78E-2</v>
          </cell>
          <cell r="AE23">
            <v>0</v>
          </cell>
        </row>
        <row r="24">
          <cell r="A24" t="str">
            <v>2011G&amp;A</v>
          </cell>
          <cell r="B24" t="str">
            <v>G&amp;A</v>
          </cell>
          <cell r="C24">
            <v>9.0499999999999997E-2</v>
          </cell>
          <cell r="D24">
            <v>9.0499999999999997E-2</v>
          </cell>
          <cell r="E24">
            <v>0.1202</v>
          </cell>
          <cell r="F24">
            <v>0.1202</v>
          </cell>
          <cell r="G24">
            <v>0.13489999999999999</v>
          </cell>
          <cell r="H24">
            <v>9.1800000000000007E-2</v>
          </cell>
          <cell r="I24">
            <v>0.14829999999999999</v>
          </cell>
          <cell r="J24">
            <v>0.14829999999999999</v>
          </cell>
          <cell r="K24">
            <v>0.18970000000000001</v>
          </cell>
          <cell r="L24">
            <v>9.1999999999999998E-2</v>
          </cell>
          <cell r="M24">
            <v>9.1999999999999998E-2</v>
          </cell>
          <cell r="N24">
            <v>0.1527</v>
          </cell>
          <cell r="O24">
            <v>0.13589999999999999</v>
          </cell>
          <cell r="P24">
            <v>0.13100000000000001</v>
          </cell>
          <cell r="Q24">
            <v>0.13100000000000001</v>
          </cell>
          <cell r="R24">
            <v>0.15759999999999999</v>
          </cell>
          <cell r="S24">
            <v>0.15759999999999999</v>
          </cell>
          <cell r="T24">
            <v>0.1321</v>
          </cell>
          <cell r="U24">
            <v>0.1321</v>
          </cell>
          <cell r="V24">
            <v>0.1321</v>
          </cell>
          <cell r="W24">
            <v>0.1321</v>
          </cell>
          <cell r="X24">
            <v>0.1321</v>
          </cell>
          <cell r="Y24">
            <v>0.1321</v>
          </cell>
          <cell r="Z24">
            <v>0.1321</v>
          </cell>
          <cell r="AA24">
            <v>0.1321</v>
          </cell>
          <cell r="AB24">
            <v>0.1321</v>
          </cell>
          <cell r="AC24">
            <v>0.1696</v>
          </cell>
          <cell r="AD24">
            <v>0.13589999999999999</v>
          </cell>
          <cell r="AE24">
            <v>0</v>
          </cell>
        </row>
        <row r="25">
          <cell r="B25" t="str">
            <v>Wrap - On</v>
          </cell>
          <cell r="C25">
            <v>1.5189367304999999</v>
          </cell>
          <cell r="D25">
            <v>1.5189367304999999</v>
          </cell>
          <cell r="E25">
            <v>1.5519816501000003</v>
          </cell>
          <cell r="F25">
            <v>1.5519816501000003</v>
          </cell>
          <cell r="G25">
            <v>1.7443412999999999</v>
          </cell>
          <cell r="H25">
            <v>1.5336536436000001</v>
          </cell>
          <cell r="I25" t="str">
            <v>n/a</v>
          </cell>
          <cell r="J25">
            <v>1.7550800927999997</v>
          </cell>
          <cell r="K25" t="str">
            <v>n/a</v>
          </cell>
          <cell r="L25">
            <v>1.4650998398400001</v>
          </cell>
          <cell r="M25" t="str">
            <v>n/a</v>
          </cell>
          <cell r="N25">
            <v>1.8394190077749999</v>
          </cell>
          <cell r="O25">
            <v>1.8692870195999998</v>
          </cell>
          <cell r="P25">
            <v>1.6981965000000001</v>
          </cell>
          <cell r="Q25">
            <v>1.60913025</v>
          </cell>
          <cell r="R25">
            <v>1.6826815719999999</v>
          </cell>
          <cell r="S25">
            <v>2.0568641960000003</v>
          </cell>
          <cell r="T25">
            <v>1.7043057937499999</v>
          </cell>
          <cell r="U25">
            <v>1.5354106249999997</v>
          </cell>
          <cell r="V25">
            <v>1.6512420025499999</v>
          </cell>
          <cell r="W25">
            <v>1.7996255004749999</v>
          </cell>
          <cell r="X25">
            <v>1.6208043619499999</v>
          </cell>
          <cell r="Y25">
            <v>1.6728900187499995</v>
          </cell>
          <cell r="Z25">
            <v>1.5071081249999996</v>
          </cell>
          <cell r="AA25">
            <v>1.6733853125</v>
          </cell>
          <cell r="AB25">
            <v>1.5915061799999997</v>
          </cell>
          <cell r="AC25" t="str">
            <v>n/a</v>
          </cell>
          <cell r="AD25">
            <v>1.6622948023499997</v>
          </cell>
          <cell r="AE25">
            <v>1</v>
          </cell>
        </row>
        <row r="26">
          <cell r="B26" t="str">
            <v>Wrap - Off</v>
          </cell>
          <cell r="C26">
            <v>1.7274037987499999</v>
          </cell>
          <cell r="D26">
            <v>1.5690277575</v>
          </cell>
          <cell r="E26">
            <v>1.8085012890000003</v>
          </cell>
          <cell r="F26">
            <v>1.9144386030000002</v>
          </cell>
          <cell r="G26">
            <v>2.0240941499999998</v>
          </cell>
          <cell r="H26">
            <v>1.6822126860000002</v>
          </cell>
          <cell r="I26">
            <v>2.0188216367999998</v>
          </cell>
          <cell r="J26">
            <v>2.2461850368</v>
          </cell>
          <cell r="K26">
            <v>2.39439022</v>
          </cell>
          <cell r="L26">
            <v>1.7180491910400002</v>
          </cell>
          <cell r="M26">
            <v>1.76987664672</v>
          </cell>
          <cell r="N26">
            <v>2.2455950422499997</v>
          </cell>
          <cell r="O26">
            <v>1.8692870195999998</v>
          </cell>
          <cell r="P26">
            <v>1.972980867</v>
          </cell>
          <cell r="Q26">
            <v>1.8695028494999999</v>
          </cell>
          <cell r="R26">
            <v>2.0082924576000001</v>
          </cell>
          <cell r="S26" t="str">
            <v>n/a</v>
          </cell>
          <cell r="T26">
            <v>2.3483291812499996</v>
          </cell>
          <cell r="U26">
            <v>2.1156118749999999</v>
          </cell>
          <cell r="V26">
            <v>2.2752136348499996</v>
          </cell>
          <cell r="W26">
            <v>2.2752136348499996</v>
          </cell>
          <cell r="X26">
            <v>2.2752136348499996</v>
          </cell>
          <cell r="Y26">
            <v>2.3483291812499996</v>
          </cell>
          <cell r="Z26">
            <v>2.1156118749999999</v>
          </cell>
          <cell r="AA26">
            <v>2.1156118749999999</v>
          </cell>
          <cell r="AB26" t="str">
            <v>n/a</v>
          </cell>
          <cell r="AC26">
            <v>2.3505784535999998</v>
          </cell>
          <cell r="AD26">
            <v>2.0290922469999999</v>
          </cell>
          <cell r="AE26">
            <v>1</v>
          </cell>
        </row>
        <row r="27">
          <cell r="B27">
            <v>2012</v>
          </cell>
        </row>
        <row r="28">
          <cell r="A28" t="str">
            <v>2012PRB</v>
          </cell>
          <cell r="B28" t="str">
            <v>PRB</v>
          </cell>
          <cell r="C28">
            <v>0.35099999999999998</v>
          </cell>
          <cell r="D28">
            <v>0.35099999999999998</v>
          </cell>
          <cell r="E28">
            <v>0.35099999999999998</v>
          </cell>
          <cell r="F28">
            <v>0.35099999999999998</v>
          </cell>
          <cell r="G28">
            <v>0.45</v>
          </cell>
          <cell r="H28">
            <v>0.38</v>
          </cell>
          <cell r="I28">
            <v>0.44</v>
          </cell>
          <cell r="J28">
            <v>0.44</v>
          </cell>
          <cell r="K28">
            <v>0.45</v>
          </cell>
          <cell r="L28">
            <v>0.31240000000000001</v>
          </cell>
          <cell r="M28">
            <v>0.42159999999999997</v>
          </cell>
          <cell r="N28">
            <v>0.47249999999999998</v>
          </cell>
          <cell r="O28">
            <v>0.43</v>
          </cell>
          <cell r="P28">
            <v>0.43</v>
          </cell>
          <cell r="Q28">
            <v>0.35499999999999998</v>
          </cell>
          <cell r="R28">
            <v>0.43</v>
          </cell>
          <cell r="S28">
            <v>0.51219999999999999</v>
          </cell>
          <cell r="T28">
            <v>0.38750000000000001</v>
          </cell>
          <cell r="U28">
            <v>0.25</v>
          </cell>
          <cell r="V28">
            <v>0.34429999999999999</v>
          </cell>
          <cell r="W28">
            <v>0.34429999999999999</v>
          </cell>
          <cell r="X28">
            <v>0.34429999999999999</v>
          </cell>
          <cell r="Y28">
            <v>0.38750000000000001</v>
          </cell>
          <cell r="Z28">
            <v>0.25</v>
          </cell>
          <cell r="AA28">
            <v>0.25</v>
          </cell>
          <cell r="AB28">
            <v>0.32</v>
          </cell>
          <cell r="AC28">
            <v>0.34429999999999999</v>
          </cell>
          <cell r="AD28">
            <v>0.37409999999999999</v>
          </cell>
          <cell r="AE28">
            <v>0</v>
          </cell>
        </row>
        <row r="29">
          <cell r="A29" t="str">
            <v>2012Overhead - Offsite</v>
          </cell>
          <cell r="B29" t="str">
            <v>Overhead - Offsite</v>
          </cell>
          <cell r="C29">
            <v>0.17249999999999999</v>
          </cell>
          <cell r="D29">
            <v>6.5000000000000002E-2</v>
          </cell>
          <cell r="E29">
            <v>0.19500000000000001</v>
          </cell>
          <cell r="F29">
            <v>0.26500000000000001</v>
          </cell>
          <cell r="G29">
            <v>0.23</v>
          </cell>
          <cell r="H29">
            <v>0.11650000000000001</v>
          </cell>
          <cell r="I29">
            <v>0.22090000000000001</v>
          </cell>
          <cell r="J29">
            <v>0.3584</v>
          </cell>
          <cell r="K29">
            <v>0.38800000000000001</v>
          </cell>
          <cell r="L29">
            <v>0.1988</v>
          </cell>
          <cell r="M29">
            <v>0.1401</v>
          </cell>
          <cell r="N29">
            <v>0.32300000000000001</v>
          </cell>
          <cell r="O29">
            <v>0.15079999999999999</v>
          </cell>
          <cell r="P29">
            <v>0.21990000000000001</v>
          </cell>
          <cell r="Q29">
            <v>0.21990000000000001</v>
          </cell>
          <cell r="R29">
            <v>0.2132</v>
          </cell>
          <cell r="S29" t="str">
            <v>n/a</v>
          </cell>
          <cell r="T29">
            <v>0.495</v>
          </cell>
          <cell r="U29">
            <v>0.495</v>
          </cell>
          <cell r="V29">
            <v>0.495</v>
          </cell>
          <cell r="W29">
            <v>0.495</v>
          </cell>
          <cell r="X29">
            <v>0.495</v>
          </cell>
          <cell r="Y29">
            <v>0.495</v>
          </cell>
          <cell r="Z29">
            <v>0.495</v>
          </cell>
          <cell r="AA29">
            <v>0.495</v>
          </cell>
          <cell r="AB29" t="str">
            <v>n/a</v>
          </cell>
          <cell r="AC29">
            <v>0.495</v>
          </cell>
          <cell r="AD29">
            <v>0.3</v>
          </cell>
          <cell r="AE29">
            <v>0</v>
          </cell>
        </row>
        <row r="30">
          <cell r="A30" t="str">
            <v>2012Overhead - Onsite</v>
          </cell>
          <cell r="B30" t="str">
            <v>Overhead - Onsite</v>
          </cell>
          <cell r="C30">
            <v>3.1E-2</v>
          </cell>
          <cell r="D30">
            <v>3.1E-2</v>
          </cell>
          <cell r="E30">
            <v>2.5499999999999998E-2</v>
          </cell>
          <cell r="F30">
            <v>2.5499999999999998E-2</v>
          </cell>
          <cell r="G30">
            <v>0.06</v>
          </cell>
          <cell r="H30">
            <v>1.7899999999999999E-2</v>
          </cell>
          <cell r="I30" t="str">
            <v>n/a</v>
          </cell>
          <cell r="J30">
            <v>6.1400000000000003E-2</v>
          </cell>
          <cell r="K30" t="str">
            <v>n/a</v>
          </cell>
          <cell r="L30">
            <v>2.23E-2</v>
          </cell>
          <cell r="M30" t="str">
            <v>n/a</v>
          </cell>
          <cell r="N30">
            <v>8.3699999999999997E-2</v>
          </cell>
          <cell r="O30">
            <v>0.15079999999999999</v>
          </cell>
          <cell r="P30">
            <v>0.05</v>
          </cell>
          <cell r="Q30">
            <v>0.05</v>
          </cell>
          <cell r="R30">
            <v>1.6500000000000001E-2</v>
          </cell>
          <cell r="S30">
            <v>0.17499999999999999</v>
          </cell>
          <cell r="T30">
            <v>8.5000000000000006E-2</v>
          </cell>
          <cell r="U30">
            <v>8.5000000000000006E-2</v>
          </cell>
          <cell r="V30">
            <v>8.5000000000000006E-2</v>
          </cell>
          <cell r="W30">
            <v>0.1825</v>
          </cell>
          <cell r="X30">
            <v>6.5000000000000002E-2</v>
          </cell>
          <cell r="Y30">
            <v>6.5000000000000002E-2</v>
          </cell>
          <cell r="Z30">
            <v>6.5000000000000002E-2</v>
          </cell>
          <cell r="AA30">
            <v>0.1825</v>
          </cell>
          <cell r="AB30">
            <v>6.5000000000000002E-2</v>
          </cell>
          <cell r="AC30" t="str">
            <v>n/a</v>
          </cell>
          <cell r="AD30">
            <v>6.5000000000000002E-2</v>
          </cell>
          <cell r="AE30">
            <v>0</v>
          </cell>
        </row>
        <row r="31">
          <cell r="A31" t="str">
            <v>2012Material Handling</v>
          </cell>
          <cell r="B31" t="str">
            <v>Material Handling</v>
          </cell>
          <cell r="C31">
            <v>2.8400000000000002E-2</v>
          </cell>
          <cell r="D31">
            <v>2.8400000000000002E-2</v>
          </cell>
          <cell r="E31">
            <v>2.8000000000000001E-2</v>
          </cell>
          <cell r="F31">
            <v>2.8000000000000001E-2</v>
          </cell>
          <cell r="G31">
            <v>0.13250000000000001</v>
          </cell>
          <cell r="H31">
            <v>2.3099999999999999E-2</v>
          </cell>
          <cell r="I31">
            <v>4.19E-2</v>
          </cell>
          <cell r="J31">
            <v>4.19E-2</v>
          </cell>
          <cell r="K31">
            <v>2.18E-2</v>
          </cell>
          <cell r="L31">
            <v>2.8799999999999999E-2</v>
          </cell>
          <cell r="M31">
            <v>2.8799999999999999E-2</v>
          </cell>
          <cell r="N31">
            <v>4.6699999999999998E-2</v>
          </cell>
          <cell r="O31">
            <v>0</v>
          </cell>
          <cell r="P31">
            <v>3.4299999999999997E-2</v>
          </cell>
          <cell r="Q31">
            <v>3.4299999999999997E-2</v>
          </cell>
          <cell r="R31">
            <v>5.4699999999999999E-2</v>
          </cell>
          <cell r="S31">
            <v>5.4699999999999999E-2</v>
          </cell>
          <cell r="T31">
            <v>0.04</v>
          </cell>
          <cell r="U31">
            <v>0.04</v>
          </cell>
          <cell r="V31">
            <v>0.04</v>
          </cell>
          <cell r="W31">
            <v>0.04</v>
          </cell>
          <cell r="X31">
            <v>0.04</v>
          </cell>
          <cell r="Y31">
            <v>0.04</v>
          </cell>
          <cell r="Z31">
            <v>0.04</v>
          </cell>
          <cell r="AA31">
            <v>0.04</v>
          </cell>
          <cell r="AB31">
            <v>0.04</v>
          </cell>
          <cell r="AC31">
            <v>0.04</v>
          </cell>
          <cell r="AD31">
            <v>3.6799999999999999E-2</v>
          </cell>
          <cell r="AE31">
            <v>0</v>
          </cell>
        </row>
        <row r="32">
          <cell r="A32" t="str">
            <v>2012G&amp;A</v>
          </cell>
          <cell r="B32" t="str">
            <v>G&amp;A</v>
          </cell>
          <cell r="C32">
            <v>8.7999999999999995E-2</v>
          </cell>
          <cell r="D32">
            <v>8.7999999999999995E-2</v>
          </cell>
          <cell r="E32">
            <v>0.1181</v>
          </cell>
          <cell r="F32">
            <v>0.1181</v>
          </cell>
          <cell r="G32">
            <v>0.13250000000000001</v>
          </cell>
          <cell r="H32">
            <v>8.9300000000000004E-2</v>
          </cell>
          <cell r="I32">
            <v>0.1457</v>
          </cell>
          <cell r="J32">
            <v>0.1457</v>
          </cell>
          <cell r="K32">
            <v>0.18740000000000001</v>
          </cell>
          <cell r="L32">
            <v>8.9499999999999996E-2</v>
          </cell>
          <cell r="M32">
            <v>8.9499999999999996E-2</v>
          </cell>
          <cell r="N32">
            <v>0.14960000000000001</v>
          </cell>
          <cell r="O32">
            <v>0.1338</v>
          </cell>
          <cell r="P32">
            <v>0.1293</v>
          </cell>
          <cell r="Q32">
            <v>0.1293</v>
          </cell>
          <cell r="R32">
            <v>0.15509999999999999</v>
          </cell>
          <cell r="S32">
            <v>0.15509999999999999</v>
          </cell>
          <cell r="T32">
            <v>0.12970000000000001</v>
          </cell>
          <cell r="U32">
            <v>0.12970000000000001</v>
          </cell>
          <cell r="V32">
            <v>0.12970000000000001</v>
          </cell>
          <cell r="W32">
            <v>0.12970000000000001</v>
          </cell>
          <cell r="X32">
            <v>0.12970000000000001</v>
          </cell>
          <cell r="Y32">
            <v>0.12970000000000001</v>
          </cell>
          <cell r="Z32">
            <v>0.12970000000000001</v>
          </cell>
          <cell r="AA32">
            <v>0.12970000000000001</v>
          </cell>
          <cell r="AB32">
            <v>0.12970000000000001</v>
          </cell>
          <cell r="AC32">
            <v>0.1673</v>
          </cell>
          <cell r="AD32">
            <v>0.13370000000000001</v>
          </cell>
          <cell r="AE32">
            <v>0</v>
          </cell>
        </row>
        <row r="33">
          <cell r="B33" t="str">
            <v>Wrap - On</v>
          </cell>
          <cell r="C33">
            <v>1.5154545279999998</v>
          </cell>
          <cell r="D33">
            <v>1.5154545279999998</v>
          </cell>
          <cell r="E33">
            <v>1.5490722040500002</v>
          </cell>
          <cell r="F33">
            <v>1.5490722040500002</v>
          </cell>
          <cell r="G33">
            <v>1.7406524999999999</v>
          </cell>
          <cell r="H33">
            <v>1.5301418885999998</v>
          </cell>
          <cell r="I33" t="str">
            <v>n/a</v>
          </cell>
          <cell r="J33">
            <v>1.7511062111999995</v>
          </cell>
          <cell r="K33" t="str">
            <v>n/a</v>
          </cell>
          <cell r="L33">
            <v>1.4617456735399998</v>
          </cell>
          <cell r="M33" t="str">
            <v>n/a</v>
          </cell>
          <cell r="N33">
            <v>1.8344721881999997</v>
          </cell>
          <cell r="O33">
            <v>1.8658311671999996</v>
          </cell>
          <cell r="P33">
            <v>1.69564395</v>
          </cell>
          <cell r="Q33">
            <v>1.6067115749999998</v>
          </cell>
          <cell r="R33">
            <v>1.6790475844999999</v>
          </cell>
          <cell r="S33">
            <v>2.0524221085000001</v>
          </cell>
          <cell r="T33">
            <v>1.7006927437499999</v>
          </cell>
          <cell r="U33">
            <v>1.5321556249999999</v>
          </cell>
          <cell r="V33">
            <v>1.6477414453499999</v>
          </cell>
          <cell r="W33">
            <v>1.795810377075</v>
          </cell>
          <cell r="X33">
            <v>1.6173683311499998</v>
          </cell>
          <cell r="Y33">
            <v>1.6693435687499998</v>
          </cell>
          <cell r="Z33">
            <v>1.5039131249999997</v>
          </cell>
          <cell r="AA33">
            <v>1.6698378125</v>
          </cell>
          <cell r="AB33">
            <v>1.5881322599999999</v>
          </cell>
          <cell r="AC33" t="str">
            <v>n/a</v>
          </cell>
          <cell r="AD33">
            <v>1.6590752860499998</v>
          </cell>
          <cell r="AE33">
            <v>1</v>
          </cell>
        </row>
        <row r="34">
          <cell r="B34" t="str">
            <v>Wrap - Off</v>
          </cell>
          <cell r="C34">
            <v>1.7234436799999999</v>
          </cell>
          <cell r="D34">
            <v>1.5654307200000002</v>
          </cell>
          <cell r="E34">
            <v>1.8051109545000004</v>
          </cell>
          <cell r="F34">
            <v>1.9108496715000003</v>
          </cell>
          <cell r="G34">
            <v>2.01981375</v>
          </cell>
          <cell r="H34">
            <v>1.678360761</v>
          </cell>
          <cell r="I34">
            <v>2.0142505871999998</v>
          </cell>
          <cell r="J34">
            <v>2.2410991872000001</v>
          </cell>
          <cell r="K34">
            <v>2.3897612399999999</v>
          </cell>
          <cell r="L34">
            <v>1.71411592824</v>
          </cell>
          <cell r="M34">
            <v>1.7658247313199997</v>
          </cell>
          <cell r="N34">
            <v>2.2395558779999996</v>
          </cell>
          <cell r="O34">
            <v>1.8658311671999996</v>
          </cell>
          <cell r="P34">
            <v>1.9700152900999999</v>
          </cell>
          <cell r="Q34">
            <v>1.86669280985</v>
          </cell>
          <cell r="R34">
            <v>2.0039552676000003</v>
          </cell>
          <cell r="S34" t="str">
            <v>n/a</v>
          </cell>
          <cell r="T34">
            <v>2.34335083125</v>
          </cell>
          <cell r="U34">
            <v>2.1111268750000001</v>
          </cell>
          <cell r="V34">
            <v>2.2703902864500001</v>
          </cell>
          <cell r="W34">
            <v>2.2703902864500001</v>
          </cell>
          <cell r="X34">
            <v>2.2703902864500001</v>
          </cell>
          <cell r="Y34">
            <v>2.34335083125</v>
          </cell>
          <cell r="Z34">
            <v>2.1111268750000001</v>
          </cell>
          <cell r="AA34">
            <v>2.1111268750000001</v>
          </cell>
          <cell r="AB34" t="str">
            <v>n/a</v>
          </cell>
          <cell r="AC34">
            <v>2.3459560780499999</v>
          </cell>
          <cell r="AD34">
            <v>2.0251623209999998</v>
          </cell>
          <cell r="AE34">
            <v>1</v>
          </cell>
        </row>
        <row r="35">
          <cell r="B35">
            <v>2013</v>
          </cell>
        </row>
        <row r="36">
          <cell r="A36" t="str">
            <v>2013PRB</v>
          </cell>
          <cell r="B36" t="str">
            <v>PRB</v>
          </cell>
          <cell r="C36">
            <v>0.35099999999999998</v>
          </cell>
          <cell r="D36">
            <v>0.35099999999999998</v>
          </cell>
          <cell r="E36">
            <v>0.35099999999999998</v>
          </cell>
          <cell r="F36">
            <v>0.35099999999999998</v>
          </cell>
          <cell r="G36">
            <v>0.45</v>
          </cell>
          <cell r="H36">
            <v>0.38</v>
          </cell>
          <cell r="I36">
            <v>0.44</v>
          </cell>
          <cell r="J36">
            <v>0.44</v>
          </cell>
          <cell r="K36">
            <v>0.45</v>
          </cell>
          <cell r="L36">
            <v>0.31240000000000001</v>
          </cell>
          <cell r="M36">
            <v>0.42159999999999997</v>
          </cell>
          <cell r="N36">
            <v>0.47249999999999998</v>
          </cell>
          <cell r="O36">
            <v>0.43</v>
          </cell>
          <cell r="P36">
            <v>0.43</v>
          </cell>
          <cell r="Q36">
            <v>0.35499999999999998</v>
          </cell>
          <cell r="R36">
            <v>0.43</v>
          </cell>
          <cell r="S36">
            <v>0.51219999999999999</v>
          </cell>
          <cell r="T36">
            <v>0.38750000000000001</v>
          </cell>
          <cell r="U36">
            <v>0.25</v>
          </cell>
          <cell r="V36">
            <v>0.34429999999999999</v>
          </cell>
          <cell r="W36">
            <v>0.34429999999999999</v>
          </cell>
          <cell r="X36">
            <v>0.34429999999999999</v>
          </cell>
          <cell r="Y36">
            <v>0.38750000000000001</v>
          </cell>
          <cell r="Z36">
            <v>0.25</v>
          </cell>
          <cell r="AA36">
            <v>0.25</v>
          </cell>
          <cell r="AB36">
            <v>0.32</v>
          </cell>
          <cell r="AC36">
            <v>0.34429999999999999</v>
          </cell>
          <cell r="AD36">
            <v>0.37409999999999999</v>
          </cell>
          <cell r="AE36">
            <v>0</v>
          </cell>
        </row>
        <row r="37">
          <cell r="A37" t="str">
            <v>2013Overhead - Offsite</v>
          </cell>
          <cell r="B37" t="str">
            <v>Overhead - Offsite</v>
          </cell>
          <cell r="C37">
            <v>0.17249999999999999</v>
          </cell>
          <cell r="D37">
            <v>6.5000000000000002E-2</v>
          </cell>
          <cell r="E37">
            <v>0.19500000000000001</v>
          </cell>
          <cell r="F37">
            <v>0.26500000000000001</v>
          </cell>
          <cell r="G37">
            <v>0.23</v>
          </cell>
          <cell r="H37">
            <v>0.11650000000000001</v>
          </cell>
          <cell r="I37">
            <v>0.22090000000000001</v>
          </cell>
          <cell r="J37">
            <v>0.3584</v>
          </cell>
          <cell r="K37">
            <v>0.38800000000000001</v>
          </cell>
          <cell r="L37">
            <v>0.1988</v>
          </cell>
          <cell r="M37">
            <v>0.1401</v>
          </cell>
          <cell r="N37">
            <v>0.32300000000000001</v>
          </cell>
          <cell r="O37">
            <v>0.15079999999999999</v>
          </cell>
          <cell r="P37">
            <v>0.21990000000000001</v>
          </cell>
          <cell r="Q37">
            <v>0.21990000000000001</v>
          </cell>
          <cell r="R37">
            <v>0.2132</v>
          </cell>
          <cell r="S37" t="str">
            <v>n/a</v>
          </cell>
          <cell r="T37">
            <v>0.495</v>
          </cell>
          <cell r="U37">
            <v>0.495</v>
          </cell>
          <cell r="V37">
            <v>0.495</v>
          </cell>
          <cell r="W37">
            <v>0.495</v>
          </cell>
          <cell r="X37">
            <v>0.495</v>
          </cell>
          <cell r="Y37">
            <v>0.495</v>
          </cell>
          <cell r="Z37">
            <v>0.495</v>
          </cell>
          <cell r="AA37">
            <v>0.495</v>
          </cell>
          <cell r="AB37" t="str">
            <v>n/a</v>
          </cell>
          <cell r="AC37">
            <v>0.495</v>
          </cell>
          <cell r="AD37">
            <v>0.3</v>
          </cell>
          <cell r="AE37">
            <v>0</v>
          </cell>
        </row>
        <row r="38">
          <cell r="A38" t="str">
            <v>2013Overhead - Onsite</v>
          </cell>
          <cell r="B38" t="str">
            <v>Overhead - Onsite</v>
          </cell>
          <cell r="C38">
            <v>3.1E-2</v>
          </cell>
          <cell r="D38">
            <v>3.1E-2</v>
          </cell>
          <cell r="E38">
            <v>2.5499999999999998E-2</v>
          </cell>
          <cell r="F38">
            <v>2.5499999999999998E-2</v>
          </cell>
          <cell r="G38">
            <v>0.06</v>
          </cell>
          <cell r="H38">
            <v>1.7899999999999999E-2</v>
          </cell>
          <cell r="I38" t="str">
            <v>n/a</v>
          </cell>
          <cell r="J38">
            <v>6.1400000000000003E-2</v>
          </cell>
          <cell r="K38" t="str">
            <v>n/a</v>
          </cell>
          <cell r="L38">
            <v>2.23E-2</v>
          </cell>
          <cell r="M38" t="str">
            <v>n/a</v>
          </cell>
          <cell r="N38">
            <v>8.3699999999999997E-2</v>
          </cell>
          <cell r="O38">
            <v>0.15079999999999999</v>
          </cell>
          <cell r="P38">
            <v>0.05</v>
          </cell>
          <cell r="Q38">
            <v>0.05</v>
          </cell>
          <cell r="R38">
            <v>1.6500000000000001E-2</v>
          </cell>
          <cell r="S38">
            <v>0.17499999999999999</v>
          </cell>
          <cell r="T38">
            <v>8.5000000000000006E-2</v>
          </cell>
          <cell r="U38">
            <v>8.5000000000000006E-2</v>
          </cell>
          <cell r="V38">
            <v>8.5000000000000006E-2</v>
          </cell>
          <cell r="W38">
            <v>0.1825</v>
          </cell>
          <cell r="X38">
            <v>6.5000000000000002E-2</v>
          </cell>
          <cell r="Y38">
            <v>6.5000000000000002E-2</v>
          </cell>
          <cell r="Z38">
            <v>6.5000000000000002E-2</v>
          </cell>
          <cell r="AA38">
            <v>0.1825</v>
          </cell>
          <cell r="AB38">
            <v>6.5000000000000002E-2</v>
          </cell>
          <cell r="AC38" t="str">
            <v>n/a</v>
          </cell>
          <cell r="AD38">
            <v>6.5000000000000002E-2</v>
          </cell>
          <cell r="AE38">
            <v>0</v>
          </cell>
        </row>
        <row r="39">
          <cell r="A39" t="str">
            <v>2013Material Handling</v>
          </cell>
          <cell r="B39" t="str">
            <v>Material Handling</v>
          </cell>
          <cell r="C39">
            <v>2.76E-2</v>
          </cell>
          <cell r="D39">
            <v>2.76E-2</v>
          </cell>
          <cell r="E39">
            <v>2.7099999999999999E-2</v>
          </cell>
          <cell r="F39">
            <v>2.7099999999999999E-2</v>
          </cell>
          <cell r="G39">
            <v>0.13020000000000001</v>
          </cell>
          <cell r="H39">
            <v>2.2599999999999999E-2</v>
          </cell>
          <cell r="I39">
            <v>4.1300000000000003E-2</v>
          </cell>
          <cell r="J39">
            <v>4.1300000000000003E-2</v>
          </cell>
          <cell r="K39">
            <v>2.1000000000000001E-2</v>
          </cell>
          <cell r="L39">
            <v>2.8000000000000001E-2</v>
          </cell>
          <cell r="M39">
            <v>2.8000000000000001E-2</v>
          </cell>
          <cell r="N39">
            <v>4.5900000000000003E-2</v>
          </cell>
          <cell r="O39">
            <v>0</v>
          </cell>
          <cell r="P39">
            <v>3.3500000000000002E-2</v>
          </cell>
          <cell r="Q39">
            <v>3.3500000000000002E-2</v>
          </cell>
          <cell r="R39">
            <v>5.3900000000000003E-2</v>
          </cell>
          <cell r="S39">
            <v>5.3900000000000003E-2</v>
          </cell>
          <cell r="T39">
            <v>3.9100000000000003E-2</v>
          </cell>
          <cell r="U39">
            <v>3.9100000000000003E-2</v>
          </cell>
          <cell r="V39">
            <v>3.9100000000000003E-2</v>
          </cell>
          <cell r="W39">
            <v>3.9100000000000003E-2</v>
          </cell>
          <cell r="X39">
            <v>3.9100000000000003E-2</v>
          </cell>
          <cell r="Y39">
            <v>3.9100000000000003E-2</v>
          </cell>
          <cell r="Z39">
            <v>3.9100000000000003E-2</v>
          </cell>
          <cell r="AA39">
            <v>3.9100000000000003E-2</v>
          </cell>
          <cell r="AB39">
            <v>3.9100000000000003E-2</v>
          </cell>
          <cell r="AC39">
            <v>3.9100000000000003E-2</v>
          </cell>
          <cell r="AD39">
            <v>3.5900000000000001E-2</v>
          </cell>
          <cell r="AE39">
            <v>0</v>
          </cell>
        </row>
        <row r="40">
          <cell r="A40" t="str">
            <v>2013G&amp;A</v>
          </cell>
          <cell r="B40" t="str">
            <v>G&amp;A</v>
          </cell>
          <cell r="C40">
            <v>8.5699999999999998E-2</v>
          </cell>
          <cell r="D40">
            <v>8.5699999999999998E-2</v>
          </cell>
          <cell r="E40">
            <v>0.11609999999999999</v>
          </cell>
          <cell r="F40">
            <v>0.11609999999999999</v>
          </cell>
          <cell r="G40">
            <v>0.13020000000000001</v>
          </cell>
          <cell r="H40">
            <v>8.6900000000000005E-2</v>
          </cell>
          <cell r="I40">
            <v>0.14319999999999999</v>
          </cell>
          <cell r="J40">
            <v>0.14319999999999999</v>
          </cell>
          <cell r="K40">
            <v>0.18529999999999999</v>
          </cell>
          <cell r="L40">
            <v>8.7099999999999997E-2</v>
          </cell>
          <cell r="M40">
            <v>8.7099999999999997E-2</v>
          </cell>
          <cell r="N40">
            <v>0.14680000000000001</v>
          </cell>
          <cell r="O40">
            <v>0.1318</v>
          </cell>
          <cell r="P40">
            <v>0.12759999999999999</v>
          </cell>
          <cell r="Q40">
            <v>0.12759999999999999</v>
          </cell>
          <cell r="R40">
            <v>0.15260000000000001</v>
          </cell>
          <cell r="S40">
            <v>0.15260000000000001</v>
          </cell>
          <cell r="T40">
            <v>0.12740000000000001</v>
          </cell>
          <cell r="U40">
            <v>0.12740000000000001</v>
          </cell>
          <cell r="V40">
            <v>0.12740000000000001</v>
          </cell>
          <cell r="W40">
            <v>0.12740000000000001</v>
          </cell>
          <cell r="X40">
            <v>0.12740000000000001</v>
          </cell>
          <cell r="Y40">
            <v>0.12740000000000001</v>
          </cell>
          <cell r="Z40">
            <v>0.12740000000000001</v>
          </cell>
          <cell r="AA40">
            <v>0.12740000000000001</v>
          </cell>
          <cell r="AB40">
            <v>0.12740000000000001</v>
          </cell>
          <cell r="AC40">
            <v>0.16500000000000001</v>
          </cell>
          <cell r="AD40">
            <v>0.13159999999999999</v>
          </cell>
          <cell r="AE40">
            <v>0</v>
          </cell>
        </row>
        <row r="41">
          <cell r="B41" t="str">
            <v>Wrap - On</v>
          </cell>
          <cell r="C41">
            <v>1.5122509016999999</v>
          </cell>
          <cell r="D41">
            <v>1.5122509016999999</v>
          </cell>
          <cell r="E41">
            <v>1.5463013030500004</v>
          </cell>
          <cell r="F41">
            <v>1.5463013030500004</v>
          </cell>
          <cell r="G41">
            <v>1.7371174</v>
          </cell>
          <cell r="H41">
            <v>1.5267706038</v>
          </cell>
          <cell r="I41" t="str">
            <v>n/a</v>
          </cell>
          <cell r="J41">
            <v>1.7472851711999997</v>
          </cell>
          <cell r="K41" t="str">
            <v>n/a</v>
          </cell>
          <cell r="L41">
            <v>1.4585256738919998</v>
          </cell>
          <cell r="M41" t="str">
            <v>n/a</v>
          </cell>
          <cell r="N41">
            <v>1.8300040930999999</v>
          </cell>
          <cell r="O41">
            <v>1.8625398791999996</v>
          </cell>
          <cell r="P41">
            <v>1.6930913999999999</v>
          </cell>
          <cell r="Q41">
            <v>1.6042928999999999</v>
          </cell>
          <cell r="R41">
            <v>1.6754135970000001</v>
          </cell>
          <cell r="S41">
            <v>2.0479800210000003</v>
          </cell>
          <cell r="T41">
            <v>1.6972302374999999</v>
          </cell>
          <cell r="U41">
            <v>1.5290362499999999</v>
          </cell>
          <cell r="V41">
            <v>1.6443867446999998</v>
          </cell>
          <cell r="W41">
            <v>1.79215421715</v>
          </cell>
          <cell r="X41">
            <v>1.6140754683</v>
          </cell>
          <cell r="Y41">
            <v>1.6659448874999998</v>
          </cell>
          <cell r="Z41">
            <v>1.5008512499999997</v>
          </cell>
          <cell r="AA41">
            <v>1.666438125</v>
          </cell>
          <cell r="AB41">
            <v>1.5848989199999999</v>
          </cell>
          <cell r="AC41" t="str">
            <v>n/a</v>
          </cell>
          <cell r="AD41">
            <v>1.6560021113999999</v>
          </cell>
          <cell r="AE41">
            <v>1</v>
          </cell>
        </row>
        <row r="42">
          <cell r="B42" t="str">
            <v>Wrap - Off</v>
          </cell>
          <cell r="C42">
            <v>1.71980037075</v>
          </cell>
          <cell r="D42">
            <v>1.5621214455000001</v>
          </cell>
          <cell r="E42">
            <v>1.8018820645000002</v>
          </cell>
          <cell r="F42">
            <v>1.9074316415000003</v>
          </cell>
          <cell r="G42">
            <v>2.0157117000000002</v>
          </cell>
          <cell r="H42">
            <v>1.6746629129999999</v>
          </cell>
          <cell r="I42">
            <v>2.0098553472000003</v>
          </cell>
          <cell r="J42">
            <v>2.2362089472000002</v>
          </cell>
          <cell r="K42">
            <v>2.38553478</v>
          </cell>
          <cell r="L42">
            <v>1.710339995952</v>
          </cell>
          <cell r="M42">
            <v>1.7619348925359997</v>
          </cell>
          <cell r="N42">
            <v>2.2341011489999998</v>
          </cell>
          <cell r="O42">
            <v>1.8625398791999996</v>
          </cell>
          <cell r="P42">
            <v>1.9670497131999998</v>
          </cell>
          <cell r="Q42">
            <v>1.8638827701999998</v>
          </cell>
          <cell r="R42">
            <v>1.9996180776000003</v>
          </cell>
          <cell r="S42" t="str">
            <v>n/a</v>
          </cell>
          <cell r="T42">
            <v>2.3385799124999997</v>
          </cell>
          <cell r="U42">
            <v>2.10682875</v>
          </cell>
          <cell r="V42">
            <v>2.2657679108999997</v>
          </cell>
          <cell r="W42">
            <v>2.2657679108999997</v>
          </cell>
          <cell r="X42">
            <v>2.2657679108999997</v>
          </cell>
          <cell r="Y42">
            <v>2.3385799124999997</v>
          </cell>
          <cell r="Z42">
            <v>2.10682875</v>
          </cell>
          <cell r="AA42">
            <v>2.10682875</v>
          </cell>
          <cell r="AB42" t="str">
            <v>n/a</v>
          </cell>
          <cell r="AC42">
            <v>2.3413337025000001</v>
          </cell>
          <cell r="AD42">
            <v>2.0214110279999997</v>
          </cell>
          <cell r="AE42">
            <v>1</v>
          </cell>
        </row>
        <row r="43">
          <cell r="B43">
            <v>2014</v>
          </cell>
        </row>
        <row r="44">
          <cell r="A44" t="str">
            <v>2014PRB</v>
          </cell>
          <cell r="B44" t="str">
            <v>PRB</v>
          </cell>
          <cell r="C44">
            <v>0.35099999999999998</v>
          </cell>
          <cell r="D44">
            <v>0.35099999999999998</v>
          </cell>
          <cell r="E44">
            <v>0.35099999999999998</v>
          </cell>
          <cell r="F44">
            <v>0.35099999999999998</v>
          </cell>
          <cell r="G44">
            <v>0.45</v>
          </cell>
          <cell r="H44">
            <v>0.38</v>
          </cell>
          <cell r="I44">
            <v>0.44</v>
          </cell>
          <cell r="J44">
            <v>0.44</v>
          </cell>
          <cell r="K44">
            <v>0.45</v>
          </cell>
          <cell r="L44">
            <v>0.31240000000000001</v>
          </cell>
          <cell r="M44">
            <v>0.42159999999999997</v>
          </cell>
          <cell r="N44">
            <v>0.47249999999999998</v>
          </cell>
          <cell r="O44">
            <v>0.43</v>
          </cell>
          <cell r="P44">
            <v>0.43</v>
          </cell>
          <cell r="Q44">
            <v>0.35499999999999998</v>
          </cell>
          <cell r="R44">
            <v>0.43</v>
          </cell>
          <cell r="S44">
            <v>0.51219999999999999</v>
          </cell>
          <cell r="T44">
            <v>0.38750000000000001</v>
          </cell>
          <cell r="U44">
            <v>0.25</v>
          </cell>
          <cell r="V44">
            <v>0.34429999999999999</v>
          </cell>
          <cell r="W44">
            <v>0.34429999999999999</v>
          </cell>
          <cell r="X44">
            <v>0.34429999999999999</v>
          </cell>
          <cell r="Y44">
            <v>0.38750000000000001</v>
          </cell>
          <cell r="Z44">
            <v>0.25</v>
          </cell>
          <cell r="AA44">
            <v>0.25</v>
          </cell>
          <cell r="AB44">
            <v>0.32</v>
          </cell>
          <cell r="AC44">
            <v>0.34429999999999999</v>
          </cell>
          <cell r="AD44">
            <v>0.37409999999999999</v>
          </cell>
          <cell r="AE44">
            <v>0</v>
          </cell>
        </row>
        <row r="45">
          <cell r="A45" t="str">
            <v>2014Overhead - Offsite</v>
          </cell>
          <cell r="B45" t="str">
            <v>Overhead - Offsite</v>
          </cell>
          <cell r="C45">
            <v>0.17249999999999999</v>
          </cell>
          <cell r="D45">
            <v>6.5000000000000002E-2</v>
          </cell>
          <cell r="E45">
            <v>0.19500000000000001</v>
          </cell>
          <cell r="F45">
            <v>0.26500000000000001</v>
          </cell>
          <cell r="G45">
            <v>0.23</v>
          </cell>
          <cell r="H45">
            <v>0.11650000000000001</v>
          </cell>
          <cell r="I45">
            <v>0.22090000000000001</v>
          </cell>
          <cell r="J45">
            <v>0.3584</v>
          </cell>
          <cell r="K45">
            <v>0.38800000000000001</v>
          </cell>
          <cell r="L45">
            <v>0.1988</v>
          </cell>
          <cell r="M45">
            <v>0.1401</v>
          </cell>
          <cell r="N45">
            <v>0.32300000000000001</v>
          </cell>
          <cell r="O45">
            <v>0.15079999999999999</v>
          </cell>
          <cell r="P45">
            <v>0.21990000000000001</v>
          </cell>
          <cell r="Q45">
            <v>0.21990000000000001</v>
          </cell>
          <cell r="R45">
            <v>0.2132</v>
          </cell>
          <cell r="S45" t="str">
            <v>n/a</v>
          </cell>
          <cell r="T45">
            <v>0.495</v>
          </cell>
          <cell r="U45">
            <v>0.495</v>
          </cell>
          <cell r="V45">
            <v>0.495</v>
          </cell>
          <cell r="W45">
            <v>0.495</v>
          </cell>
          <cell r="X45">
            <v>0.495</v>
          </cell>
          <cell r="Y45">
            <v>0.495</v>
          </cell>
          <cell r="Z45">
            <v>0.495</v>
          </cell>
          <cell r="AA45">
            <v>0.495</v>
          </cell>
          <cell r="AB45" t="str">
            <v>n/a</v>
          </cell>
          <cell r="AC45">
            <v>0.495</v>
          </cell>
          <cell r="AD45">
            <v>0.3</v>
          </cell>
          <cell r="AE45">
            <v>0</v>
          </cell>
        </row>
        <row r="46">
          <cell r="A46" t="str">
            <v>2014Overhead - Onsite</v>
          </cell>
          <cell r="B46" t="str">
            <v>Overhead - Onsite</v>
          </cell>
          <cell r="C46">
            <v>3.1E-2</v>
          </cell>
          <cell r="D46">
            <v>3.1E-2</v>
          </cell>
          <cell r="E46">
            <v>2.5499999999999998E-2</v>
          </cell>
          <cell r="F46">
            <v>2.5499999999999998E-2</v>
          </cell>
          <cell r="G46">
            <v>0.06</v>
          </cell>
          <cell r="H46">
            <v>1.7899999999999999E-2</v>
          </cell>
          <cell r="I46" t="str">
            <v>n/a</v>
          </cell>
          <cell r="J46">
            <v>6.1400000000000003E-2</v>
          </cell>
          <cell r="K46" t="str">
            <v>n/a</v>
          </cell>
          <cell r="L46">
            <v>2.23E-2</v>
          </cell>
          <cell r="M46" t="str">
            <v>n/a</v>
          </cell>
          <cell r="N46">
            <v>8.3699999999999997E-2</v>
          </cell>
          <cell r="O46">
            <v>0.15079999999999999</v>
          </cell>
          <cell r="P46">
            <v>0.05</v>
          </cell>
          <cell r="Q46">
            <v>0.05</v>
          </cell>
          <cell r="R46">
            <v>1.6500000000000001E-2</v>
          </cell>
          <cell r="S46">
            <v>0.17499999999999999</v>
          </cell>
          <cell r="T46">
            <v>8.5000000000000006E-2</v>
          </cell>
          <cell r="U46">
            <v>8.5000000000000006E-2</v>
          </cell>
          <cell r="V46">
            <v>8.5000000000000006E-2</v>
          </cell>
          <cell r="W46">
            <v>0.1825</v>
          </cell>
          <cell r="X46">
            <v>6.5000000000000002E-2</v>
          </cell>
          <cell r="Y46">
            <v>6.5000000000000002E-2</v>
          </cell>
          <cell r="Z46">
            <v>6.5000000000000002E-2</v>
          </cell>
          <cell r="AA46">
            <v>0.1825</v>
          </cell>
          <cell r="AB46">
            <v>6.5000000000000002E-2</v>
          </cell>
          <cell r="AC46" t="str">
            <v>n/a</v>
          </cell>
          <cell r="AD46">
            <v>6.5000000000000002E-2</v>
          </cell>
          <cell r="AE46">
            <v>0</v>
          </cell>
        </row>
        <row r="47">
          <cell r="A47" t="str">
            <v>2014Material Handling</v>
          </cell>
          <cell r="B47" t="str">
            <v>Material Handling</v>
          </cell>
          <cell r="C47">
            <v>2.76E-2</v>
          </cell>
          <cell r="D47">
            <v>2.76E-2</v>
          </cell>
          <cell r="E47">
            <v>2.7099999999999999E-2</v>
          </cell>
          <cell r="F47">
            <v>2.7099999999999999E-2</v>
          </cell>
          <cell r="G47">
            <v>0.13020000000000001</v>
          </cell>
          <cell r="H47">
            <v>2.2599999999999999E-2</v>
          </cell>
          <cell r="I47">
            <v>4.1300000000000003E-2</v>
          </cell>
          <cell r="J47">
            <v>4.1300000000000003E-2</v>
          </cell>
          <cell r="K47">
            <v>2.1000000000000001E-2</v>
          </cell>
          <cell r="L47">
            <v>2.8000000000000001E-2</v>
          </cell>
          <cell r="M47">
            <v>2.8000000000000001E-2</v>
          </cell>
          <cell r="N47">
            <v>4.5900000000000003E-2</v>
          </cell>
          <cell r="O47">
            <v>0</v>
          </cell>
          <cell r="P47">
            <v>3.3500000000000002E-2</v>
          </cell>
          <cell r="Q47">
            <v>3.3500000000000002E-2</v>
          </cell>
          <cell r="R47">
            <v>5.3900000000000003E-2</v>
          </cell>
          <cell r="S47">
            <v>5.3900000000000003E-2</v>
          </cell>
          <cell r="T47">
            <v>3.9100000000000003E-2</v>
          </cell>
          <cell r="U47">
            <v>3.9100000000000003E-2</v>
          </cell>
          <cell r="V47">
            <v>3.9100000000000003E-2</v>
          </cell>
          <cell r="W47">
            <v>3.9100000000000003E-2</v>
          </cell>
          <cell r="X47">
            <v>3.9100000000000003E-2</v>
          </cell>
          <cell r="Y47">
            <v>3.9100000000000003E-2</v>
          </cell>
          <cell r="Z47">
            <v>3.9100000000000003E-2</v>
          </cell>
          <cell r="AA47">
            <v>3.9100000000000003E-2</v>
          </cell>
          <cell r="AB47">
            <v>3.9100000000000003E-2</v>
          </cell>
          <cell r="AC47">
            <v>3.9100000000000003E-2</v>
          </cell>
          <cell r="AD47">
            <v>3.5900000000000001E-2</v>
          </cell>
          <cell r="AE47">
            <v>0</v>
          </cell>
        </row>
        <row r="48">
          <cell r="A48" t="str">
            <v>2014G&amp;A</v>
          </cell>
          <cell r="B48" t="str">
            <v>G&amp;A</v>
          </cell>
          <cell r="C48">
            <v>8.5699999999999998E-2</v>
          </cell>
          <cell r="D48">
            <v>8.5699999999999998E-2</v>
          </cell>
          <cell r="E48">
            <v>0.11609999999999999</v>
          </cell>
          <cell r="F48">
            <v>0.11609999999999999</v>
          </cell>
          <cell r="G48">
            <v>0.13020000000000001</v>
          </cell>
          <cell r="H48">
            <v>8.6900000000000005E-2</v>
          </cell>
          <cell r="I48">
            <v>0.14319999999999999</v>
          </cell>
          <cell r="J48">
            <v>0.14319999999999999</v>
          </cell>
          <cell r="K48">
            <v>0.18529999999999999</v>
          </cell>
          <cell r="L48">
            <v>8.7099999999999997E-2</v>
          </cell>
          <cell r="M48">
            <v>8.7099999999999997E-2</v>
          </cell>
          <cell r="N48">
            <v>0.14680000000000001</v>
          </cell>
          <cell r="O48">
            <v>0.1318</v>
          </cell>
          <cell r="P48">
            <v>0.12759999999999999</v>
          </cell>
          <cell r="Q48">
            <v>0.12759999999999999</v>
          </cell>
          <cell r="R48">
            <v>0.15260000000000001</v>
          </cell>
          <cell r="S48">
            <v>0.15260000000000001</v>
          </cell>
          <cell r="T48">
            <v>0.12740000000000001</v>
          </cell>
          <cell r="U48">
            <v>0.12740000000000001</v>
          </cell>
          <cell r="V48">
            <v>0.12740000000000001</v>
          </cell>
          <cell r="W48">
            <v>0.12740000000000001</v>
          </cell>
          <cell r="X48">
            <v>0.12740000000000001</v>
          </cell>
          <cell r="Y48">
            <v>0.12740000000000001</v>
          </cell>
          <cell r="Z48">
            <v>0.12740000000000001</v>
          </cell>
          <cell r="AA48">
            <v>0.12740000000000001</v>
          </cell>
          <cell r="AB48">
            <v>0.12740000000000001</v>
          </cell>
          <cell r="AC48">
            <v>0.16500000000000001</v>
          </cell>
          <cell r="AD48">
            <v>0.13159999999999999</v>
          </cell>
          <cell r="AE48">
            <v>0</v>
          </cell>
        </row>
        <row r="49">
          <cell r="B49" t="str">
            <v>Wrap - On</v>
          </cell>
          <cell r="C49">
            <v>1.5122509016999999</v>
          </cell>
          <cell r="D49">
            <v>1.5122509016999999</v>
          </cell>
          <cell r="E49">
            <v>1.5463013030500004</v>
          </cell>
          <cell r="F49">
            <v>1.5463013030500004</v>
          </cell>
          <cell r="G49">
            <v>1.7371174</v>
          </cell>
          <cell r="H49">
            <v>1.5267706038</v>
          </cell>
          <cell r="I49" t="str">
            <v>n/a</v>
          </cell>
          <cell r="J49">
            <v>1.7472851711999997</v>
          </cell>
          <cell r="K49" t="str">
            <v>n/a</v>
          </cell>
          <cell r="L49">
            <v>1.4585256738919998</v>
          </cell>
          <cell r="M49" t="str">
            <v>n/a</v>
          </cell>
          <cell r="N49">
            <v>1.8300040930999999</v>
          </cell>
          <cell r="O49">
            <v>1.8625398791999996</v>
          </cell>
          <cell r="P49">
            <v>1.6930913999999999</v>
          </cell>
          <cell r="Q49">
            <v>1.6042928999999999</v>
          </cell>
          <cell r="R49">
            <v>1.6754135970000001</v>
          </cell>
          <cell r="S49">
            <v>2.0479800210000003</v>
          </cell>
          <cell r="T49">
            <v>1.6972302374999999</v>
          </cell>
          <cell r="U49">
            <v>1.5290362499999999</v>
          </cell>
          <cell r="V49">
            <v>1.6443867446999998</v>
          </cell>
          <cell r="W49">
            <v>1.79215421715</v>
          </cell>
          <cell r="X49">
            <v>1.6140754683</v>
          </cell>
          <cell r="Y49">
            <v>1.6659448874999998</v>
          </cell>
          <cell r="Z49">
            <v>1.5008512499999997</v>
          </cell>
          <cell r="AA49">
            <v>1.666438125</v>
          </cell>
          <cell r="AB49">
            <v>1.5848989199999999</v>
          </cell>
          <cell r="AC49" t="str">
            <v>n/a</v>
          </cell>
          <cell r="AD49">
            <v>1.6560021113999999</v>
          </cell>
          <cell r="AE49">
            <v>1</v>
          </cell>
        </row>
        <row r="50">
          <cell r="B50" t="str">
            <v>Wrap - Off</v>
          </cell>
          <cell r="C50">
            <v>1.71980037075</v>
          </cell>
          <cell r="D50">
            <v>1.5621214455000001</v>
          </cell>
          <cell r="E50">
            <v>1.8018820645000002</v>
          </cell>
          <cell r="F50">
            <v>1.9074316415000003</v>
          </cell>
          <cell r="G50">
            <v>2.0157117000000002</v>
          </cell>
          <cell r="H50">
            <v>1.6746629129999999</v>
          </cell>
          <cell r="I50">
            <v>2.0098553472000003</v>
          </cell>
          <cell r="J50">
            <v>2.2362089472000002</v>
          </cell>
          <cell r="K50">
            <v>2.38553478</v>
          </cell>
          <cell r="L50">
            <v>1.710339995952</v>
          </cell>
          <cell r="M50">
            <v>1.7619348925359997</v>
          </cell>
          <cell r="N50">
            <v>2.2341011489999998</v>
          </cell>
          <cell r="O50">
            <v>1.8625398791999996</v>
          </cell>
          <cell r="P50">
            <v>1.9670497131999998</v>
          </cell>
          <cell r="Q50">
            <v>1.8638827701999998</v>
          </cell>
          <cell r="R50">
            <v>1.9996180776000003</v>
          </cell>
          <cell r="S50" t="str">
            <v>n/a</v>
          </cell>
          <cell r="T50">
            <v>2.3385799124999997</v>
          </cell>
          <cell r="U50">
            <v>2.10682875</v>
          </cell>
          <cell r="V50">
            <v>2.2657679108999997</v>
          </cell>
          <cell r="W50">
            <v>2.2657679108999997</v>
          </cell>
          <cell r="X50">
            <v>2.2657679108999997</v>
          </cell>
          <cell r="Y50">
            <v>2.3385799124999997</v>
          </cell>
          <cell r="Z50">
            <v>2.10682875</v>
          </cell>
          <cell r="AA50">
            <v>2.10682875</v>
          </cell>
          <cell r="AB50" t="str">
            <v>n/a</v>
          </cell>
          <cell r="AC50">
            <v>2.3413337025000001</v>
          </cell>
          <cell r="AD50">
            <v>2.0214110279999997</v>
          </cell>
          <cell r="AE50">
            <v>1</v>
          </cell>
        </row>
        <row r="51">
          <cell r="B51">
            <v>2015</v>
          </cell>
        </row>
        <row r="52">
          <cell r="A52" t="str">
            <v>2015PRB</v>
          </cell>
          <cell r="B52" t="str">
            <v>PRB</v>
          </cell>
          <cell r="C52">
            <v>0.35099999999999998</v>
          </cell>
          <cell r="D52">
            <v>0.35099999999999998</v>
          </cell>
          <cell r="E52">
            <v>0.35099999999999998</v>
          </cell>
          <cell r="F52">
            <v>0.35099999999999998</v>
          </cell>
          <cell r="G52">
            <v>0.45</v>
          </cell>
          <cell r="H52">
            <v>0.38</v>
          </cell>
          <cell r="I52">
            <v>0.44</v>
          </cell>
          <cell r="J52">
            <v>0.44</v>
          </cell>
          <cell r="K52">
            <v>0.45</v>
          </cell>
          <cell r="L52">
            <v>0.31240000000000001</v>
          </cell>
          <cell r="M52">
            <v>0.42159999999999997</v>
          </cell>
          <cell r="N52">
            <v>0.47249999999999998</v>
          </cell>
          <cell r="O52">
            <v>0.43</v>
          </cell>
          <cell r="P52">
            <v>0.43</v>
          </cell>
          <cell r="Q52">
            <v>0.35499999999999998</v>
          </cell>
          <cell r="R52">
            <v>0.43</v>
          </cell>
          <cell r="S52">
            <v>0.51219999999999999</v>
          </cell>
          <cell r="T52">
            <v>0.38750000000000001</v>
          </cell>
          <cell r="U52">
            <v>0.25</v>
          </cell>
          <cell r="V52">
            <v>0.34429999999999999</v>
          </cell>
          <cell r="W52">
            <v>0.34429999999999999</v>
          </cell>
          <cell r="X52">
            <v>0.34429999999999999</v>
          </cell>
          <cell r="Y52">
            <v>0.38750000000000001</v>
          </cell>
          <cell r="Z52">
            <v>0.25</v>
          </cell>
          <cell r="AA52">
            <v>0.25</v>
          </cell>
          <cell r="AB52">
            <v>0.32</v>
          </cell>
          <cell r="AC52">
            <v>0.34429999999999999</v>
          </cell>
          <cell r="AD52">
            <v>0.37409999999999999</v>
          </cell>
          <cell r="AE52">
            <v>0</v>
          </cell>
        </row>
        <row r="53">
          <cell r="A53" t="str">
            <v>2015Overhead - Offsite</v>
          </cell>
          <cell r="B53" t="str">
            <v>Overhead - Offsite</v>
          </cell>
          <cell r="C53">
            <v>0.17249999999999999</v>
          </cell>
          <cell r="D53">
            <v>6.5000000000000002E-2</v>
          </cell>
          <cell r="E53">
            <v>0.19500000000000001</v>
          </cell>
          <cell r="F53">
            <v>0.26500000000000001</v>
          </cell>
          <cell r="G53">
            <v>0.23</v>
          </cell>
          <cell r="H53">
            <v>0.11650000000000001</v>
          </cell>
          <cell r="I53">
            <v>0.22090000000000001</v>
          </cell>
          <cell r="J53">
            <v>0.3584</v>
          </cell>
          <cell r="K53">
            <v>0.38800000000000001</v>
          </cell>
          <cell r="L53">
            <v>0.1988</v>
          </cell>
          <cell r="M53">
            <v>0.1401</v>
          </cell>
          <cell r="N53">
            <v>0.32300000000000001</v>
          </cell>
          <cell r="O53">
            <v>0.15079999999999999</v>
          </cell>
          <cell r="P53">
            <v>0.21990000000000001</v>
          </cell>
          <cell r="Q53">
            <v>0.21990000000000001</v>
          </cell>
          <cell r="R53">
            <v>0.2132</v>
          </cell>
          <cell r="S53" t="str">
            <v>n/a</v>
          </cell>
          <cell r="T53">
            <v>0.495</v>
          </cell>
          <cell r="U53">
            <v>0.495</v>
          </cell>
          <cell r="V53">
            <v>0.495</v>
          </cell>
          <cell r="W53">
            <v>0.495</v>
          </cell>
          <cell r="X53">
            <v>0.495</v>
          </cell>
          <cell r="Y53">
            <v>0.495</v>
          </cell>
          <cell r="Z53">
            <v>0.495</v>
          </cell>
          <cell r="AA53">
            <v>0.495</v>
          </cell>
          <cell r="AB53" t="str">
            <v>n/a</v>
          </cell>
          <cell r="AC53">
            <v>0.495</v>
          </cell>
          <cell r="AD53">
            <v>0.3</v>
          </cell>
          <cell r="AE53">
            <v>0</v>
          </cell>
        </row>
        <row r="54">
          <cell r="A54" t="str">
            <v>2015Overhead - Onsite</v>
          </cell>
          <cell r="B54" t="str">
            <v>Overhead - Onsite</v>
          </cell>
          <cell r="C54">
            <v>3.1E-2</v>
          </cell>
          <cell r="D54">
            <v>3.1E-2</v>
          </cell>
          <cell r="E54">
            <v>2.5499999999999998E-2</v>
          </cell>
          <cell r="F54">
            <v>2.5499999999999998E-2</v>
          </cell>
          <cell r="G54">
            <v>0.06</v>
          </cell>
          <cell r="H54">
            <v>1.7899999999999999E-2</v>
          </cell>
          <cell r="I54" t="str">
            <v>n/a</v>
          </cell>
          <cell r="J54">
            <v>6.1400000000000003E-2</v>
          </cell>
          <cell r="K54" t="str">
            <v>n/a</v>
          </cell>
          <cell r="L54">
            <v>2.23E-2</v>
          </cell>
          <cell r="M54" t="str">
            <v>n/a</v>
          </cell>
          <cell r="N54">
            <v>8.3699999999999997E-2</v>
          </cell>
          <cell r="O54">
            <v>0.15079999999999999</v>
          </cell>
          <cell r="P54">
            <v>0.05</v>
          </cell>
          <cell r="Q54">
            <v>0.05</v>
          </cell>
          <cell r="R54">
            <v>1.6500000000000001E-2</v>
          </cell>
          <cell r="S54">
            <v>0.17499999999999999</v>
          </cell>
          <cell r="T54">
            <v>8.5000000000000006E-2</v>
          </cell>
          <cell r="U54">
            <v>8.5000000000000006E-2</v>
          </cell>
          <cell r="V54">
            <v>8.5000000000000006E-2</v>
          </cell>
          <cell r="W54">
            <v>0.1825</v>
          </cell>
          <cell r="X54">
            <v>6.5000000000000002E-2</v>
          </cell>
          <cell r="Y54">
            <v>6.5000000000000002E-2</v>
          </cell>
          <cell r="Z54">
            <v>6.5000000000000002E-2</v>
          </cell>
          <cell r="AA54">
            <v>0.1825</v>
          </cell>
          <cell r="AB54">
            <v>6.5000000000000002E-2</v>
          </cell>
          <cell r="AC54" t="str">
            <v>n/a</v>
          </cell>
          <cell r="AD54">
            <v>6.5000000000000002E-2</v>
          </cell>
          <cell r="AE54">
            <v>0</v>
          </cell>
        </row>
        <row r="55">
          <cell r="A55" t="str">
            <v>2015Material Handling</v>
          </cell>
          <cell r="B55" t="str">
            <v>Material Handling</v>
          </cell>
          <cell r="C55">
            <v>2.76E-2</v>
          </cell>
          <cell r="D55">
            <v>2.76E-2</v>
          </cell>
          <cell r="E55">
            <v>2.7099999999999999E-2</v>
          </cell>
          <cell r="F55">
            <v>2.7099999999999999E-2</v>
          </cell>
          <cell r="G55">
            <v>0.13020000000000001</v>
          </cell>
          <cell r="H55">
            <v>2.2599999999999999E-2</v>
          </cell>
          <cell r="I55">
            <v>4.1300000000000003E-2</v>
          </cell>
          <cell r="J55">
            <v>4.1300000000000003E-2</v>
          </cell>
          <cell r="K55">
            <v>2.1000000000000001E-2</v>
          </cell>
          <cell r="L55">
            <v>2.8000000000000001E-2</v>
          </cell>
          <cell r="M55">
            <v>2.8000000000000001E-2</v>
          </cell>
          <cell r="N55">
            <v>4.5900000000000003E-2</v>
          </cell>
          <cell r="O55">
            <v>0</v>
          </cell>
          <cell r="P55">
            <v>3.3500000000000002E-2</v>
          </cell>
          <cell r="Q55">
            <v>3.3500000000000002E-2</v>
          </cell>
          <cell r="R55">
            <v>5.3900000000000003E-2</v>
          </cell>
          <cell r="S55">
            <v>5.3900000000000003E-2</v>
          </cell>
          <cell r="T55">
            <v>3.9100000000000003E-2</v>
          </cell>
          <cell r="U55">
            <v>3.9100000000000003E-2</v>
          </cell>
          <cell r="V55">
            <v>3.9100000000000003E-2</v>
          </cell>
          <cell r="W55">
            <v>3.9100000000000003E-2</v>
          </cell>
          <cell r="X55">
            <v>3.9100000000000003E-2</v>
          </cell>
          <cell r="Y55">
            <v>3.9100000000000003E-2</v>
          </cell>
          <cell r="Z55">
            <v>3.9100000000000003E-2</v>
          </cell>
          <cell r="AA55">
            <v>3.9100000000000003E-2</v>
          </cell>
          <cell r="AB55">
            <v>3.9100000000000003E-2</v>
          </cell>
          <cell r="AC55">
            <v>3.9100000000000003E-2</v>
          </cell>
          <cell r="AD55">
            <v>3.5900000000000001E-2</v>
          </cell>
          <cell r="AE55">
            <v>0</v>
          </cell>
        </row>
        <row r="56">
          <cell r="A56" t="str">
            <v>2015G&amp;A</v>
          </cell>
          <cell r="B56" t="str">
            <v>G&amp;A</v>
          </cell>
          <cell r="C56">
            <v>8.5699999999999998E-2</v>
          </cell>
          <cell r="D56">
            <v>8.5699999999999998E-2</v>
          </cell>
          <cell r="E56">
            <v>0.11609999999999999</v>
          </cell>
          <cell r="F56">
            <v>0.11609999999999999</v>
          </cell>
          <cell r="G56">
            <v>0.13020000000000001</v>
          </cell>
          <cell r="H56">
            <v>8.6900000000000005E-2</v>
          </cell>
          <cell r="I56">
            <v>0.14319999999999999</v>
          </cell>
          <cell r="J56">
            <v>0.14319999999999999</v>
          </cell>
          <cell r="K56">
            <v>0.18529999999999999</v>
          </cell>
          <cell r="L56">
            <v>8.7099999999999997E-2</v>
          </cell>
          <cell r="M56">
            <v>8.7099999999999997E-2</v>
          </cell>
          <cell r="N56">
            <v>0.14680000000000001</v>
          </cell>
          <cell r="O56">
            <v>0.1318</v>
          </cell>
          <cell r="P56">
            <v>0.12759999999999999</v>
          </cell>
          <cell r="Q56">
            <v>0.12759999999999999</v>
          </cell>
          <cell r="R56">
            <v>0.15260000000000001</v>
          </cell>
          <cell r="S56">
            <v>0.15260000000000001</v>
          </cell>
          <cell r="T56">
            <v>0.12740000000000001</v>
          </cell>
          <cell r="U56">
            <v>0.12740000000000001</v>
          </cell>
          <cell r="V56">
            <v>0.12740000000000001</v>
          </cell>
          <cell r="W56">
            <v>0.12740000000000001</v>
          </cell>
          <cell r="X56">
            <v>0.12740000000000001</v>
          </cell>
          <cell r="Y56">
            <v>0.12740000000000001</v>
          </cell>
          <cell r="Z56">
            <v>0.12740000000000001</v>
          </cell>
          <cell r="AA56">
            <v>0.12740000000000001</v>
          </cell>
          <cell r="AB56">
            <v>0.12740000000000001</v>
          </cell>
          <cell r="AC56">
            <v>0.16500000000000001</v>
          </cell>
          <cell r="AD56">
            <v>0.13159999999999999</v>
          </cell>
          <cell r="AE56">
            <v>0</v>
          </cell>
        </row>
        <row r="57">
          <cell r="B57" t="str">
            <v>Wrap - On</v>
          </cell>
          <cell r="C57">
            <v>1.5122509016999999</v>
          </cell>
          <cell r="D57">
            <v>1.5122509016999999</v>
          </cell>
          <cell r="E57">
            <v>1.5463013030500004</v>
          </cell>
          <cell r="F57">
            <v>1.5463013030500004</v>
          </cell>
          <cell r="G57">
            <v>1.7371174</v>
          </cell>
          <cell r="H57">
            <v>1.5267706038</v>
          </cell>
          <cell r="I57" t="str">
            <v>n/a</v>
          </cell>
          <cell r="J57">
            <v>1.7472851711999997</v>
          </cell>
          <cell r="K57" t="str">
            <v>n/a</v>
          </cell>
          <cell r="L57">
            <v>1.4585256738919998</v>
          </cell>
          <cell r="M57" t="str">
            <v>n/a</v>
          </cell>
          <cell r="N57">
            <v>1.8300040930999999</v>
          </cell>
          <cell r="O57">
            <v>1.8625398791999996</v>
          </cell>
          <cell r="P57">
            <v>1.6930913999999999</v>
          </cell>
          <cell r="Q57">
            <v>1.6042928999999999</v>
          </cell>
          <cell r="R57">
            <v>1.6754135970000001</v>
          </cell>
          <cell r="S57">
            <v>2.0479800210000003</v>
          </cell>
          <cell r="T57">
            <v>1.6972302374999999</v>
          </cell>
          <cell r="U57">
            <v>1.5290362499999999</v>
          </cell>
          <cell r="V57">
            <v>1.6443867446999998</v>
          </cell>
          <cell r="W57">
            <v>1.79215421715</v>
          </cell>
          <cell r="X57">
            <v>1.6140754683</v>
          </cell>
          <cell r="Y57">
            <v>1.6659448874999998</v>
          </cell>
          <cell r="Z57">
            <v>1.5008512499999997</v>
          </cell>
          <cell r="AA57">
            <v>1.666438125</v>
          </cell>
          <cell r="AB57">
            <v>1.5848989199999999</v>
          </cell>
          <cell r="AC57" t="str">
            <v>n/a</v>
          </cell>
          <cell r="AD57">
            <v>1.6560021113999999</v>
          </cell>
          <cell r="AE57">
            <v>1</v>
          </cell>
        </row>
        <row r="58">
          <cell r="B58" t="str">
            <v>Wrap - Off</v>
          </cell>
          <cell r="C58">
            <v>1.71980037075</v>
          </cell>
          <cell r="D58">
            <v>1.5621214455000001</v>
          </cell>
          <cell r="E58">
            <v>1.8018820645000002</v>
          </cell>
          <cell r="F58">
            <v>1.9074316415000003</v>
          </cell>
          <cell r="G58">
            <v>2.0157117000000002</v>
          </cell>
          <cell r="H58">
            <v>1.6746629129999999</v>
          </cell>
          <cell r="I58">
            <v>2.0098553472000003</v>
          </cell>
          <cell r="J58">
            <v>2.2362089472000002</v>
          </cell>
          <cell r="K58">
            <v>2.38553478</v>
          </cell>
          <cell r="L58">
            <v>1.710339995952</v>
          </cell>
          <cell r="M58">
            <v>1.7619348925359997</v>
          </cell>
          <cell r="N58">
            <v>2.2341011489999998</v>
          </cell>
          <cell r="O58">
            <v>1.8625398791999996</v>
          </cell>
          <cell r="P58">
            <v>1.9670497131999998</v>
          </cell>
          <cell r="Q58">
            <v>1.8638827701999998</v>
          </cell>
          <cell r="R58">
            <v>1.9996180776000003</v>
          </cell>
          <cell r="S58" t="str">
            <v>n/a</v>
          </cell>
          <cell r="T58">
            <v>2.3385799124999997</v>
          </cell>
          <cell r="U58">
            <v>2.10682875</v>
          </cell>
          <cell r="V58">
            <v>2.2657679108999997</v>
          </cell>
          <cell r="W58">
            <v>2.2657679108999997</v>
          </cell>
          <cell r="X58">
            <v>2.2657679108999997</v>
          </cell>
          <cell r="Y58">
            <v>2.3385799124999997</v>
          </cell>
          <cell r="Z58">
            <v>2.10682875</v>
          </cell>
          <cell r="AA58">
            <v>2.10682875</v>
          </cell>
          <cell r="AB58" t="str">
            <v>n/a</v>
          </cell>
          <cell r="AC58">
            <v>2.3413337025000001</v>
          </cell>
          <cell r="AD58">
            <v>2.0214110279999997</v>
          </cell>
          <cell r="AE58">
            <v>1</v>
          </cell>
        </row>
        <row r="59">
          <cell r="B59">
            <v>2016</v>
          </cell>
        </row>
        <row r="60">
          <cell r="A60" t="str">
            <v>2016PRB</v>
          </cell>
          <cell r="B60" t="str">
            <v>PRB</v>
          </cell>
          <cell r="C60">
            <v>0.35099999999999998</v>
          </cell>
          <cell r="D60">
            <v>0.35099999999999998</v>
          </cell>
          <cell r="E60">
            <v>0.35099999999999998</v>
          </cell>
          <cell r="F60">
            <v>0.35099999999999998</v>
          </cell>
          <cell r="G60">
            <v>0.45</v>
          </cell>
          <cell r="H60">
            <v>0.38</v>
          </cell>
          <cell r="I60">
            <v>0.44</v>
          </cell>
          <cell r="J60">
            <v>0.44</v>
          </cell>
          <cell r="K60">
            <v>0.45</v>
          </cell>
          <cell r="L60">
            <v>0.31240000000000001</v>
          </cell>
          <cell r="M60">
            <v>0.42159999999999997</v>
          </cell>
          <cell r="N60">
            <v>0.47249999999999998</v>
          </cell>
          <cell r="O60">
            <v>0.43</v>
          </cell>
          <cell r="P60">
            <v>0.43</v>
          </cell>
          <cell r="Q60">
            <v>0.35499999999999998</v>
          </cell>
          <cell r="R60">
            <v>0.43</v>
          </cell>
          <cell r="S60">
            <v>0.51219999999999999</v>
          </cell>
          <cell r="T60">
            <v>0.38750000000000001</v>
          </cell>
          <cell r="U60">
            <v>0.25</v>
          </cell>
          <cell r="V60">
            <v>0.34429999999999999</v>
          </cell>
          <cell r="W60">
            <v>0.34429999999999999</v>
          </cell>
          <cell r="X60">
            <v>0.34429999999999999</v>
          </cell>
          <cell r="Y60">
            <v>0.38750000000000001</v>
          </cell>
          <cell r="Z60">
            <v>0.25</v>
          </cell>
          <cell r="AA60">
            <v>0.25</v>
          </cell>
          <cell r="AB60">
            <v>0.32</v>
          </cell>
          <cell r="AC60">
            <v>0.34429999999999999</v>
          </cell>
          <cell r="AD60">
            <v>0.37409999999999999</v>
          </cell>
          <cell r="AE60">
            <v>0</v>
          </cell>
        </row>
        <row r="61">
          <cell r="A61" t="str">
            <v>2016Overhead - Offsite</v>
          </cell>
          <cell r="B61" t="str">
            <v>Overhead - Offsite</v>
          </cell>
          <cell r="C61">
            <v>0.17249999999999999</v>
          </cell>
          <cell r="D61">
            <v>6.5000000000000002E-2</v>
          </cell>
          <cell r="E61">
            <v>0.19500000000000001</v>
          </cell>
          <cell r="F61">
            <v>0.26500000000000001</v>
          </cell>
          <cell r="G61">
            <v>0.23</v>
          </cell>
          <cell r="H61">
            <v>0.11650000000000001</v>
          </cell>
          <cell r="I61">
            <v>0.22090000000000001</v>
          </cell>
          <cell r="J61">
            <v>0.3584</v>
          </cell>
          <cell r="K61">
            <v>0.38800000000000001</v>
          </cell>
          <cell r="L61">
            <v>0.1988</v>
          </cell>
          <cell r="M61">
            <v>0.1401</v>
          </cell>
          <cell r="N61">
            <v>0.32300000000000001</v>
          </cell>
          <cell r="O61">
            <v>0.15079999999999999</v>
          </cell>
          <cell r="P61">
            <v>0.21990000000000001</v>
          </cell>
          <cell r="Q61">
            <v>0.21990000000000001</v>
          </cell>
          <cell r="R61">
            <v>0.2132</v>
          </cell>
          <cell r="S61" t="str">
            <v>n/a</v>
          </cell>
          <cell r="T61">
            <v>0.495</v>
          </cell>
          <cell r="U61">
            <v>0.495</v>
          </cell>
          <cell r="V61">
            <v>0.495</v>
          </cell>
          <cell r="W61">
            <v>0.495</v>
          </cell>
          <cell r="X61">
            <v>0.495</v>
          </cell>
          <cell r="Y61">
            <v>0.495</v>
          </cell>
          <cell r="Z61">
            <v>0.495</v>
          </cell>
          <cell r="AA61">
            <v>0.495</v>
          </cell>
          <cell r="AB61" t="str">
            <v>n/a</v>
          </cell>
          <cell r="AC61">
            <v>0.495</v>
          </cell>
          <cell r="AD61">
            <v>0.3</v>
          </cell>
          <cell r="AE61">
            <v>0</v>
          </cell>
        </row>
        <row r="62">
          <cell r="A62" t="str">
            <v>2016Overhead - Onsite</v>
          </cell>
          <cell r="B62" t="str">
            <v>Overhead - Onsite</v>
          </cell>
          <cell r="C62">
            <v>3.1E-2</v>
          </cell>
          <cell r="D62">
            <v>3.1E-2</v>
          </cell>
          <cell r="E62">
            <v>2.5499999999999998E-2</v>
          </cell>
          <cell r="F62">
            <v>2.5499999999999998E-2</v>
          </cell>
          <cell r="G62">
            <v>0.06</v>
          </cell>
          <cell r="H62">
            <v>1.7899999999999999E-2</v>
          </cell>
          <cell r="I62" t="str">
            <v>n/a</v>
          </cell>
          <cell r="J62">
            <v>6.1400000000000003E-2</v>
          </cell>
          <cell r="K62" t="str">
            <v>n/a</v>
          </cell>
          <cell r="L62">
            <v>2.23E-2</v>
          </cell>
          <cell r="M62" t="str">
            <v>n/a</v>
          </cell>
          <cell r="N62">
            <v>8.3699999999999997E-2</v>
          </cell>
          <cell r="O62">
            <v>0.15079999999999999</v>
          </cell>
          <cell r="P62">
            <v>0.05</v>
          </cell>
          <cell r="Q62">
            <v>0.05</v>
          </cell>
          <cell r="R62">
            <v>1.6500000000000001E-2</v>
          </cell>
          <cell r="S62">
            <v>0.17499999999999999</v>
          </cell>
          <cell r="T62">
            <v>8.5000000000000006E-2</v>
          </cell>
          <cell r="U62">
            <v>8.5000000000000006E-2</v>
          </cell>
          <cell r="V62">
            <v>8.5000000000000006E-2</v>
          </cell>
          <cell r="W62">
            <v>0.1825</v>
          </cell>
          <cell r="X62">
            <v>6.5000000000000002E-2</v>
          </cell>
          <cell r="Y62">
            <v>6.5000000000000002E-2</v>
          </cell>
          <cell r="Z62">
            <v>6.5000000000000002E-2</v>
          </cell>
          <cell r="AA62">
            <v>0.1825</v>
          </cell>
          <cell r="AB62">
            <v>6.5000000000000002E-2</v>
          </cell>
          <cell r="AC62" t="str">
            <v>n/a</v>
          </cell>
          <cell r="AD62">
            <v>6.5000000000000002E-2</v>
          </cell>
          <cell r="AE62">
            <v>0</v>
          </cell>
        </row>
        <row r="63">
          <cell r="A63" t="str">
            <v>2016Material Handling</v>
          </cell>
          <cell r="B63" t="str">
            <v>Material Handling</v>
          </cell>
          <cell r="C63">
            <v>2.76E-2</v>
          </cell>
          <cell r="D63">
            <v>2.76E-2</v>
          </cell>
          <cell r="E63">
            <v>2.7099999999999999E-2</v>
          </cell>
          <cell r="F63">
            <v>2.7099999999999999E-2</v>
          </cell>
          <cell r="G63">
            <v>0.13020000000000001</v>
          </cell>
          <cell r="H63">
            <v>2.2599999999999999E-2</v>
          </cell>
          <cell r="I63">
            <v>4.1300000000000003E-2</v>
          </cell>
          <cell r="J63">
            <v>4.1300000000000003E-2</v>
          </cell>
          <cell r="K63">
            <v>2.1000000000000001E-2</v>
          </cell>
          <cell r="L63">
            <v>2.8000000000000001E-2</v>
          </cell>
          <cell r="M63">
            <v>2.8000000000000001E-2</v>
          </cell>
          <cell r="N63">
            <v>4.5900000000000003E-2</v>
          </cell>
          <cell r="O63">
            <v>0</v>
          </cell>
          <cell r="P63">
            <v>3.3500000000000002E-2</v>
          </cell>
          <cell r="Q63">
            <v>3.3500000000000002E-2</v>
          </cell>
          <cell r="R63">
            <v>5.3900000000000003E-2</v>
          </cell>
          <cell r="S63">
            <v>5.3900000000000003E-2</v>
          </cell>
          <cell r="T63">
            <v>3.9100000000000003E-2</v>
          </cell>
          <cell r="U63">
            <v>3.9100000000000003E-2</v>
          </cell>
          <cell r="V63">
            <v>3.9100000000000003E-2</v>
          </cell>
          <cell r="W63">
            <v>3.9100000000000003E-2</v>
          </cell>
          <cell r="X63">
            <v>3.9100000000000003E-2</v>
          </cell>
          <cell r="Y63">
            <v>3.9100000000000003E-2</v>
          </cell>
          <cell r="Z63">
            <v>3.9100000000000003E-2</v>
          </cell>
          <cell r="AA63">
            <v>3.9100000000000003E-2</v>
          </cell>
          <cell r="AB63">
            <v>3.9100000000000003E-2</v>
          </cell>
          <cell r="AC63">
            <v>3.9100000000000003E-2</v>
          </cell>
          <cell r="AD63">
            <v>3.5900000000000001E-2</v>
          </cell>
          <cell r="AE63">
            <v>0</v>
          </cell>
        </row>
        <row r="64">
          <cell r="A64" t="str">
            <v>2016G&amp;A</v>
          </cell>
          <cell r="B64" t="str">
            <v>G&amp;A</v>
          </cell>
          <cell r="C64">
            <v>8.5699999999999998E-2</v>
          </cell>
          <cell r="D64">
            <v>8.5699999999999998E-2</v>
          </cell>
          <cell r="E64">
            <v>0.11609999999999999</v>
          </cell>
          <cell r="F64">
            <v>0.11609999999999999</v>
          </cell>
          <cell r="G64">
            <v>0.13020000000000001</v>
          </cell>
          <cell r="H64">
            <v>8.6900000000000005E-2</v>
          </cell>
          <cell r="I64">
            <v>0.14319999999999999</v>
          </cell>
          <cell r="J64">
            <v>0.14319999999999999</v>
          </cell>
          <cell r="K64">
            <v>0.18529999999999999</v>
          </cell>
          <cell r="L64">
            <v>8.7099999999999997E-2</v>
          </cell>
          <cell r="M64">
            <v>8.7099999999999997E-2</v>
          </cell>
          <cell r="N64">
            <v>0.14680000000000001</v>
          </cell>
          <cell r="O64">
            <v>0.1318</v>
          </cell>
          <cell r="P64">
            <v>0.12759999999999999</v>
          </cell>
          <cell r="Q64">
            <v>0.12759999999999999</v>
          </cell>
          <cell r="R64">
            <v>0.15260000000000001</v>
          </cell>
          <cell r="S64">
            <v>0.15260000000000001</v>
          </cell>
          <cell r="T64">
            <v>0.12740000000000001</v>
          </cell>
          <cell r="U64">
            <v>0.12740000000000001</v>
          </cell>
          <cell r="V64">
            <v>0.12740000000000001</v>
          </cell>
          <cell r="W64">
            <v>0.12740000000000001</v>
          </cell>
          <cell r="X64">
            <v>0.12740000000000001</v>
          </cell>
          <cell r="Y64">
            <v>0.12740000000000001</v>
          </cell>
          <cell r="Z64">
            <v>0.12740000000000001</v>
          </cell>
          <cell r="AA64">
            <v>0.12740000000000001</v>
          </cell>
          <cell r="AB64">
            <v>0.12740000000000001</v>
          </cell>
          <cell r="AC64">
            <v>0.16500000000000001</v>
          </cell>
          <cell r="AD64">
            <v>0.13159999999999999</v>
          </cell>
          <cell r="AE64">
            <v>0</v>
          </cell>
        </row>
        <row r="65">
          <cell r="B65" t="str">
            <v>Wrap - On</v>
          </cell>
          <cell r="C65">
            <v>1.5122509016999999</v>
          </cell>
          <cell r="D65">
            <v>1.5122509016999999</v>
          </cell>
          <cell r="E65">
            <v>1.5463013030500004</v>
          </cell>
          <cell r="F65">
            <v>1.5463013030500004</v>
          </cell>
          <cell r="G65">
            <v>1.7371174</v>
          </cell>
          <cell r="H65">
            <v>1.5267706038</v>
          </cell>
          <cell r="I65" t="str">
            <v>n/a</v>
          </cell>
          <cell r="J65">
            <v>1.7472851711999997</v>
          </cell>
          <cell r="K65" t="str">
            <v>n/a</v>
          </cell>
          <cell r="L65">
            <v>1.4585256738919998</v>
          </cell>
          <cell r="M65" t="str">
            <v>n/a</v>
          </cell>
          <cell r="N65">
            <v>1.8300040930999999</v>
          </cell>
          <cell r="O65">
            <v>1.8625398791999996</v>
          </cell>
          <cell r="P65">
            <v>1.6930913999999999</v>
          </cell>
          <cell r="Q65">
            <v>1.6042928999999999</v>
          </cell>
          <cell r="R65">
            <v>1.6754135970000001</v>
          </cell>
          <cell r="S65">
            <v>2.0479800210000003</v>
          </cell>
          <cell r="T65">
            <v>1.6972302374999999</v>
          </cell>
          <cell r="U65">
            <v>1.5290362499999999</v>
          </cell>
          <cell r="V65">
            <v>1.6443867446999998</v>
          </cell>
          <cell r="W65">
            <v>1.79215421715</v>
          </cell>
          <cell r="X65">
            <v>1.6140754683</v>
          </cell>
          <cell r="Y65">
            <v>1.6659448874999998</v>
          </cell>
          <cell r="Z65">
            <v>1.5008512499999997</v>
          </cell>
          <cell r="AA65">
            <v>1.666438125</v>
          </cell>
          <cell r="AB65">
            <v>1.5848989199999999</v>
          </cell>
          <cell r="AC65" t="str">
            <v>n/a</v>
          </cell>
          <cell r="AD65">
            <v>1.6560021113999999</v>
          </cell>
          <cell r="AE65">
            <v>1</v>
          </cell>
        </row>
        <row r="66">
          <cell r="B66" t="str">
            <v>Wrap - Off</v>
          </cell>
          <cell r="C66">
            <v>1.71980037075</v>
          </cell>
          <cell r="D66">
            <v>1.5621214455000001</v>
          </cell>
          <cell r="E66">
            <v>1.8018820645000002</v>
          </cell>
          <cell r="F66">
            <v>1.9074316415000003</v>
          </cell>
          <cell r="G66">
            <v>2.0157117000000002</v>
          </cell>
          <cell r="H66">
            <v>1.6746629129999999</v>
          </cell>
          <cell r="I66">
            <v>2.0098553472000003</v>
          </cell>
          <cell r="J66">
            <v>2.2362089472000002</v>
          </cell>
          <cell r="K66">
            <v>2.38553478</v>
          </cell>
          <cell r="L66">
            <v>1.710339995952</v>
          </cell>
          <cell r="M66">
            <v>1.7619348925359997</v>
          </cell>
          <cell r="N66">
            <v>2.2341011489999998</v>
          </cell>
          <cell r="O66">
            <v>1.8625398791999996</v>
          </cell>
          <cell r="P66">
            <v>1.9670497131999998</v>
          </cell>
          <cell r="Q66">
            <v>1.8638827701999998</v>
          </cell>
          <cell r="R66">
            <v>1.9996180776000003</v>
          </cell>
          <cell r="S66" t="str">
            <v>n/a</v>
          </cell>
          <cell r="T66">
            <v>2.3385799124999997</v>
          </cell>
          <cell r="U66">
            <v>2.10682875</v>
          </cell>
          <cell r="V66">
            <v>2.2657679108999997</v>
          </cell>
          <cell r="W66">
            <v>2.2657679108999997</v>
          </cell>
          <cell r="X66">
            <v>2.2657679108999997</v>
          </cell>
          <cell r="Y66">
            <v>2.3385799124999997</v>
          </cell>
          <cell r="Z66">
            <v>2.10682875</v>
          </cell>
          <cell r="AA66">
            <v>2.10682875</v>
          </cell>
          <cell r="AB66" t="str">
            <v>n/a</v>
          </cell>
          <cell r="AC66">
            <v>2.3413337025000001</v>
          </cell>
          <cell r="AD66">
            <v>2.0214110279999997</v>
          </cell>
          <cell r="AE66">
            <v>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8">
          <cell r="F8" t="str">
            <v>Base YearSegovia, Inc.</v>
          </cell>
          <cell r="G8" t="str">
            <v>Base YearBriggs and Sons</v>
          </cell>
          <cell r="H8" t="str">
            <v>Base YearYvan</v>
          </cell>
          <cell r="I8" t="str">
            <v>Base YearSub 4</v>
          </cell>
          <cell r="J8" t="str">
            <v>Base YearSub 5</v>
          </cell>
          <cell r="K8" t="str">
            <v>Base YearSub 6</v>
          </cell>
          <cell r="L8" t="str">
            <v>Base YearSub 7</v>
          </cell>
          <cell r="M8" t="str">
            <v>Base YearSub 8</v>
          </cell>
          <cell r="N8" t="str">
            <v>Base YearSub 9</v>
          </cell>
          <cell r="O8" t="str">
            <v>Base YearSub 10</v>
          </cell>
          <cell r="P8" t="str">
            <v>Base YearSub 11</v>
          </cell>
          <cell r="Q8" t="str">
            <v>Base YearSub 12</v>
          </cell>
          <cell r="R8" t="str">
            <v>Base YearSub 13</v>
          </cell>
          <cell r="S8" t="str">
            <v>Base YearSub 14</v>
          </cell>
          <cell r="T8" t="str">
            <v>Base YearSub 15</v>
          </cell>
          <cell r="V8" t="str">
            <v>Option Year 1Segovia, Inc.</v>
          </cell>
          <cell r="W8" t="str">
            <v>Option Year 1Briggs and Sons</v>
          </cell>
          <cell r="X8" t="str">
            <v>Option Year 1Yvan</v>
          </cell>
          <cell r="Y8" t="str">
            <v>Option Year 1Sub 4</v>
          </cell>
          <cell r="Z8" t="str">
            <v>Option Year 1Sub 5</v>
          </cell>
          <cell r="AA8" t="str">
            <v>Option Year 1Sub 6</v>
          </cell>
          <cell r="AB8" t="str">
            <v>Option Year 1Sub 7</v>
          </cell>
          <cell r="AC8" t="str">
            <v>Option Year 1Sub 8</v>
          </cell>
          <cell r="AD8" t="str">
            <v>Option Year 1Sub 9</v>
          </cell>
          <cell r="AE8" t="str">
            <v>Option Year 1Sub 10</v>
          </cell>
          <cell r="AF8" t="str">
            <v>Option Year 1Sub 11</v>
          </cell>
          <cell r="AG8" t="str">
            <v>Option Year 1Sub 12</v>
          </cell>
          <cell r="AH8" t="str">
            <v>Option Year 1Sub 13</v>
          </cell>
          <cell r="AI8" t="str">
            <v>Option Year 1Sub 14</v>
          </cell>
          <cell r="AJ8" t="str">
            <v>Option Year 1Sub 15</v>
          </cell>
          <cell r="AL8" t="str">
            <v>Option Year 2Segovia, Inc.</v>
          </cell>
          <cell r="AM8" t="str">
            <v>Option Year 2Briggs and Sons</v>
          </cell>
          <cell r="AN8" t="str">
            <v>Option Year 2Yvan</v>
          </cell>
          <cell r="AO8" t="str">
            <v>Option Year 2Sub 4</v>
          </cell>
          <cell r="AP8" t="str">
            <v>Option Year 2Sub 5</v>
          </cell>
          <cell r="AQ8" t="str">
            <v>Option Year 2Sub 6</v>
          </cell>
          <cell r="AR8" t="str">
            <v>Option Year 2Sub 7</v>
          </cell>
          <cell r="AS8" t="str">
            <v>Option Year 2Sub 8</v>
          </cell>
          <cell r="AT8" t="str">
            <v>Option Year 2Sub 9</v>
          </cell>
          <cell r="AU8" t="str">
            <v>Option Year 2Sub 10</v>
          </cell>
          <cell r="AV8" t="str">
            <v>Option Year 2Sub 11</v>
          </cell>
          <cell r="AW8" t="str">
            <v>Option Year 2Sub 12</v>
          </cell>
          <cell r="AX8" t="str">
            <v>Option Year 2Sub 13</v>
          </cell>
          <cell r="AY8" t="str">
            <v>Option Year 2Sub 14</v>
          </cell>
          <cell r="AZ8" t="str">
            <v>Option Year 2Sub 15</v>
          </cell>
          <cell r="BB8" t="str">
            <v>Training and ProcessingSegovia, Inc.</v>
          </cell>
          <cell r="BC8" t="str">
            <v>Training and ProcessingBriggs and Sons</v>
          </cell>
          <cell r="BD8" t="str">
            <v>Training and ProcessingYvan</v>
          </cell>
          <cell r="BE8" t="str">
            <v>Training and ProcessingSub 4</v>
          </cell>
          <cell r="BF8" t="str">
            <v>Training and ProcessingSub 5</v>
          </cell>
          <cell r="BG8" t="str">
            <v>Training and ProcessingSub 6</v>
          </cell>
          <cell r="BH8" t="str">
            <v>Training and ProcessingSub 7</v>
          </cell>
          <cell r="BI8" t="str">
            <v>Training and ProcessingSub 8</v>
          </cell>
          <cell r="BJ8" t="str">
            <v>Training and ProcessingSub 9</v>
          </cell>
          <cell r="BK8" t="str">
            <v>Training and ProcessingSub 10</v>
          </cell>
          <cell r="BL8" t="str">
            <v>Training and ProcessingSub 11</v>
          </cell>
          <cell r="BM8" t="str">
            <v>Training and ProcessingSub 12</v>
          </cell>
          <cell r="BN8" t="str">
            <v>Training and ProcessingSub 13</v>
          </cell>
          <cell r="BO8" t="str">
            <v>Training and ProcessingSub 14</v>
          </cell>
          <cell r="BP8" t="str">
            <v>Training and ProcessingSub 15</v>
          </cell>
          <cell r="BR8" t="str">
            <v>0Segovia, Inc.</v>
          </cell>
          <cell r="BS8" t="str">
            <v>0Briggs and Sons</v>
          </cell>
          <cell r="BT8" t="str">
            <v>0Yvan</v>
          </cell>
          <cell r="BU8" t="str">
            <v>0Sub 4</v>
          </cell>
          <cell r="BV8" t="str">
            <v>0Sub 5</v>
          </cell>
          <cell r="BW8" t="str">
            <v>0Sub 6</v>
          </cell>
          <cell r="BX8" t="str">
            <v>0Sub 7</v>
          </cell>
          <cell r="BY8" t="str">
            <v>0Sub 8</v>
          </cell>
          <cell r="BZ8" t="str">
            <v>0Sub 9</v>
          </cell>
          <cell r="CA8" t="str">
            <v>0Sub 10</v>
          </cell>
          <cell r="CB8" t="str">
            <v>0Sub 11</v>
          </cell>
          <cell r="CC8" t="str">
            <v>0Sub 12</v>
          </cell>
          <cell r="CD8" t="str">
            <v>0Sub 13</v>
          </cell>
          <cell r="CE8" t="str">
            <v>0Sub 14</v>
          </cell>
          <cell r="CF8" t="str">
            <v>0Sub 15</v>
          </cell>
          <cell r="CH8" t="str">
            <v>Option Year 5Segovia, Inc.</v>
          </cell>
          <cell r="CI8" t="str">
            <v>Option Year 5Briggs and Sons</v>
          </cell>
          <cell r="CJ8" t="str">
            <v>Option Year 5Yvan</v>
          </cell>
          <cell r="CK8" t="str">
            <v>Option Year 5Sub 4</v>
          </cell>
          <cell r="CL8" t="str">
            <v>Option Year 5Sub 5</v>
          </cell>
          <cell r="CM8" t="str">
            <v>Option Year 5Sub 6</v>
          </cell>
          <cell r="CN8" t="str">
            <v>Option Year 5Sub 7</v>
          </cell>
          <cell r="CO8" t="str">
            <v>Option Year 5Sub 8</v>
          </cell>
          <cell r="CP8" t="str">
            <v>Option Year 5Sub 9</v>
          </cell>
          <cell r="CQ8" t="str">
            <v>Option Year 5Sub 10</v>
          </cell>
          <cell r="CR8" t="str">
            <v>Option Year 5Sub 11</v>
          </cell>
          <cell r="CS8" t="str">
            <v>Option Year 5Sub 12</v>
          </cell>
          <cell r="CT8" t="str">
            <v>Option Year 5Sub 13</v>
          </cell>
          <cell r="CU8" t="str">
            <v>Option Year 5Sub 14</v>
          </cell>
          <cell r="CV8" t="str">
            <v>Option Year 5Sub 15</v>
          </cell>
          <cell r="CX8" t="str">
            <v>Option Year 6Segovia, Inc.</v>
          </cell>
          <cell r="CY8" t="str">
            <v>Option Year 6Briggs and Sons</v>
          </cell>
          <cell r="CZ8" t="str">
            <v>Option Year 6Yvan</v>
          </cell>
          <cell r="DA8" t="str">
            <v>Option Year 6Sub 4</v>
          </cell>
          <cell r="DB8" t="str">
            <v>Option Year 6Sub 5</v>
          </cell>
          <cell r="DC8" t="str">
            <v>Option Year 6Sub 6</v>
          </cell>
          <cell r="DD8" t="str">
            <v>Option Year 6Sub 7</v>
          </cell>
          <cell r="DE8" t="str">
            <v>Option Year 6Sub 8</v>
          </cell>
          <cell r="DF8" t="str">
            <v>Option Year 6Sub 9</v>
          </cell>
          <cell r="DG8" t="str">
            <v>Option Year 6Sub 10</v>
          </cell>
          <cell r="DH8" t="str">
            <v>Option Year 6Sub 11</v>
          </cell>
          <cell r="DI8" t="str">
            <v>Option Year 6Sub 12</v>
          </cell>
          <cell r="DJ8" t="str">
            <v>Option Year 6Sub 13</v>
          </cell>
          <cell r="DK8" t="str">
            <v>Option Year 6Sub 14</v>
          </cell>
          <cell r="DL8" t="str">
            <v>Option Year 6Sub 15</v>
          </cell>
          <cell r="DN8" t="str">
            <v>Option Year 7Segovia, Inc.</v>
          </cell>
          <cell r="DO8" t="str">
            <v>Option Year 7Briggs and Sons</v>
          </cell>
          <cell r="DP8" t="str">
            <v>Option Year 7Yvan</v>
          </cell>
          <cell r="DQ8" t="str">
            <v>Option Year 7Sub 4</v>
          </cell>
          <cell r="DR8" t="str">
            <v>Option Year 7Sub 5</v>
          </cell>
          <cell r="DS8" t="str">
            <v>Option Year 7Sub 6</v>
          </cell>
          <cell r="DT8" t="str">
            <v>Option Year 7Sub 7</v>
          </cell>
          <cell r="DU8" t="str">
            <v>Option Year 7Sub 8</v>
          </cell>
          <cell r="DV8" t="str">
            <v>Option Year 7Sub 9</v>
          </cell>
          <cell r="DW8" t="str">
            <v>Option Year 7Sub 10</v>
          </cell>
          <cell r="DX8" t="str">
            <v>Option Year 7Sub 11</v>
          </cell>
          <cell r="DY8" t="str">
            <v>Option Year 7Sub 12</v>
          </cell>
          <cell r="DZ8" t="str">
            <v>Option Year 7Sub 13</v>
          </cell>
          <cell r="EA8" t="str">
            <v>Option Year 7Sub 14</v>
          </cell>
          <cell r="EB8" t="str">
            <v>Option Year 7Sub 15</v>
          </cell>
          <cell r="ED8" t="str">
            <v>Option Year 8Segovia, Inc.</v>
          </cell>
          <cell r="EE8" t="str">
            <v>Option Year 8Briggs and Sons</v>
          </cell>
          <cell r="EF8" t="str">
            <v>Option Year 8Yvan</v>
          </cell>
          <cell r="EG8" t="str">
            <v>Option Year 8Sub 4</v>
          </cell>
          <cell r="EH8" t="str">
            <v>Option Year 8Sub 5</v>
          </cell>
          <cell r="EI8" t="str">
            <v>Option Year 8Sub 6</v>
          </cell>
          <cell r="EJ8" t="str">
            <v>Option Year 8Sub 7</v>
          </cell>
          <cell r="EK8" t="str">
            <v>Option Year 8Sub 8</v>
          </cell>
          <cell r="EL8" t="str">
            <v>Option Year 8Sub 9</v>
          </cell>
          <cell r="EM8" t="str">
            <v>Option Year 8Sub 10</v>
          </cell>
          <cell r="EN8" t="str">
            <v>Option Year 8Sub 11</v>
          </cell>
          <cell r="EO8" t="str">
            <v>Option Year 8Sub 12</v>
          </cell>
          <cell r="EP8" t="str">
            <v>Option Year 8Sub 13</v>
          </cell>
          <cell r="EQ8" t="str">
            <v>Option Year 8Sub 14</v>
          </cell>
          <cell r="ER8" t="str">
            <v>Option Year 8Sub 15</v>
          </cell>
          <cell r="ET8" t="str">
            <v>Option Year 9Segovia, Inc.</v>
          </cell>
          <cell r="EU8" t="str">
            <v>Option Year 9Briggs and Sons</v>
          </cell>
          <cell r="EV8" t="str">
            <v>Option Year 9Yvan</v>
          </cell>
          <cell r="EW8" t="str">
            <v>Option Year 9Sub 4</v>
          </cell>
          <cell r="EX8" t="str">
            <v>Option Year 9Sub 5</v>
          </cell>
          <cell r="EY8" t="str">
            <v>Option Year 9Sub 6</v>
          </cell>
          <cell r="EZ8" t="str">
            <v>Option Year 9Sub 7</v>
          </cell>
          <cell r="FA8" t="str">
            <v>Option Year 9Sub 8</v>
          </cell>
          <cell r="FB8" t="str">
            <v>Option Year 9Sub 9</v>
          </cell>
          <cell r="FC8" t="str">
            <v>Option Year 9Sub 10</v>
          </cell>
          <cell r="FD8" t="str">
            <v>Option Year 9Sub 11</v>
          </cell>
          <cell r="FE8" t="str">
            <v>Option Year 9Sub 12</v>
          </cell>
          <cell r="FF8" t="str">
            <v>Option Year 9Sub 13</v>
          </cell>
          <cell r="FG8" t="str">
            <v>Option Year 9Sub 14</v>
          </cell>
          <cell r="FH8" t="str">
            <v>Option Year 9Sub 15</v>
          </cell>
          <cell r="FJ8" t="str">
            <v>Option Year 10Segovia, Inc.</v>
          </cell>
          <cell r="FK8" t="str">
            <v>Option Year 10Briggs and Sons</v>
          </cell>
          <cell r="FL8" t="str">
            <v>Option Year 10Yvan</v>
          </cell>
          <cell r="FM8" t="str">
            <v>Option Year 10Sub 4</v>
          </cell>
          <cell r="FN8" t="str">
            <v>Option Year 10Sub 5</v>
          </cell>
          <cell r="FO8" t="str">
            <v>Option Year 10Sub 6</v>
          </cell>
          <cell r="FP8" t="str">
            <v>Option Year 10Sub 7</v>
          </cell>
          <cell r="FQ8" t="str">
            <v>Option Year 10Sub 8</v>
          </cell>
          <cell r="FR8" t="str">
            <v>Option Year 10Sub 9</v>
          </cell>
          <cell r="FS8" t="str">
            <v>Option Year 10Sub 10</v>
          </cell>
          <cell r="FT8" t="str">
            <v>Option Year 10Sub 11</v>
          </cell>
          <cell r="FU8" t="str">
            <v>Option Year 10Sub 12</v>
          </cell>
          <cell r="FV8" t="str">
            <v>Option Year 10Sub 13</v>
          </cell>
          <cell r="FW8" t="str">
            <v>Option Year 10Sub 14</v>
          </cell>
          <cell r="FX8" t="str">
            <v>Option Year 10Sub 15</v>
          </cell>
          <cell r="FZ8" t="str">
            <v>Option Year 11Segovia, Inc.</v>
          </cell>
          <cell r="GA8" t="str">
            <v>Option Year 11Briggs and Sons</v>
          </cell>
          <cell r="GB8" t="str">
            <v>Option Year 11Yvan</v>
          </cell>
          <cell r="GC8" t="str">
            <v>Option Year 11Sub 4</v>
          </cell>
          <cell r="GD8" t="str">
            <v>Option Year 11Sub 5</v>
          </cell>
          <cell r="GE8" t="str">
            <v>Option Year 11Sub 6</v>
          </cell>
          <cell r="GF8" t="str">
            <v>Option Year 11Sub 7</v>
          </cell>
          <cell r="GG8" t="str">
            <v>Option Year 11Sub 8</v>
          </cell>
          <cell r="GH8" t="str">
            <v>Option Year 11Sub 9</v>
          </cell>
          <cell r="GI8" t="str">
            <v>Option Year 11Sub 10</v>
          </cell>
          <cell r="GJ8" t="str">
            <v>Option Year 11Sub 11</v>
          </cell>
          <cell r="GK8" t="str">
            <v>Option Year 11Sub 12</v>
          </cell>
          <cell r="GL8" t="str">
            <v>Option Year 11Sub 13</v>
          </cell>
          <cell r="GM8" t="str">
            <v>Option Year 11Sub 14</v>
          </cell>
          <cell r="GN8" t="str">
            <v>Option Year 11Sub 15</v>
          </cell>
          <cell r="GP8" t="str">
            <v>Option Year 12Segovia, Inc.</v>
          </cell>
          <cell r="GQ8" t="str">
            <v>Option Year 12Briggs and Sons</v>
          </cell>
          <cell r="GR8" t="str">
            <v>Option Year 12Yvan</v>
          </cell>
          <cell r="GS8" t="str">
            <v>Option Year 12Sub 4</v>
          </cell>
          <cell r="GT8" t="str">
            <v>Option Year 12Sub 5</v>
          </cell>
          <cell r="GU8" t="str">
            <v>Option Year 12Sub 6</v>
          </cell>
          <cell r="GV8" t="str">
            <v>Option Year 12Sub 7</v>
          </cell>
          <cell r="GW8" t="str">
            <v>Option Year 12Sub 8</v>
          </cell>
          <cell r="GX8" t="str">
            <v>Option Year 12Sub 9</v>
          </cell>
          <cell r="GY8" t="str">
            <v>Option Year 12Sub 10</v>
          </cell>
          <cell r="GZ8" t="str">
            <v>Option Year 12Sub 11</v>
          </cell>
          <cell r="HA8" t="str">
            <v>Option Year 12Sub 12</v>
          </cell>
          <cell r="HB8" t="str">
            <v>Option Year 12Sub 13</v>
          </cell>
          <cell r="HC8" t="str">
            <v>Option Year 12Sub 14</v>
          </cell>
          <cell r="HD8" t="str">
            <v>Option Year 12Sub 15</v>
          </cell>
          <cell r="HF8" t="str">
            <v>Option Year 13Segovia, Inc.</v>
          </cell>
          <cell r="HG8" t="str">
            <v>Option Year 13Briggs and Sons</v>
          </cell>
          <cell r="HH8" t="str">
            <v>Option Year 13Yvan</v>
          </cell>
          <cell r="HI8" t="str">
            <v>Option Year 13Sub 4</v>
          </cell>
          <cell r="HJ8" t="str">
            <v>Option Year 13Sub 5</v>
          </cell>
          <cell r="HK8" t="str">
            <v>Option Year 13Sub 6</v>
          </cell>
          <cell r="HL8" t="str">
            <v>Option Year 13Sub 7</v>
          </cell>
          <cell r="HM8" t="str">
            <v>Option Year 13Sub 8</v>
          </cell>
          <cell r="HN8" t="str">
            <v>Option Year 13Sub 9</v>
          </cell>
          <cell r="HO8" t="str">
            <v>Option Year 13Sub 10</v>
          </cell>
          <cell r="HP8" t="str">
            <v>Option Year 13Sub 11</v>
          </cell>
          <cell r="HQ8" t="str">
            <v>Option Year 13Sub 12</v>
          </cell>
          <cell r="HR8" t="str">
            <v>Option Year 13Sub 13</v>
          </cell>
          <cell r="HS8" t="str">
            <v>Option Year 13Sub 14</v>
          </cell>
          <cell r="HT8" t="str">
            <v>Option Year 13Sub 15</v>
          </cell>
          <cell r="HV8" t="str">
            <v>Option Year 14Segovia, Inc.</v>
          </cell>
          <cell r="HW8" t="str">
            <v>Option Year 14Briggs and Sons</v>
          </cell>
          <cell r="HX8" t="str">
            <v>Option Year 14Yvan</v>
          </cell>
          <cell r="HY8" t="str">
            <v>Option Year 14Sub 4</v>
          </cell>
          <cell r="HZ8" t="str">
            <v>Option Year 14Sub 5</v>
          </cell>
          <cell r="IA8" t="str">
            <v>Option Year 14Sub 6</v>
          </cell>
          <cell r="IB8" t="str">
            <v>Option Year 14Sub 7</v>
          </cell>
          <cell r="IC8" t="str">
            <v>Option Year 14Sub 8</v>
          </cell>
          <cell r="ID8" t="str">
            <v>Option Year 14Sub 9</v>
          </cell>
          <cell r="IE8" t="str">
            <v>Option Year 14Sub 10</v>
          </cell>
          <cell r="IF8" t="str">
            <v>Option Year 14Sub 11</v>
          </cell>
          <cell r="IG8" t="str">
            <v>Option Year 14Sub 12</v>
          </cell>
          <cell r="IH8" t="str">
            <v>Option Year 14Sub 13</v>
          </cell>
          <cell r="II8" t="str">
            <v>Option Year 14Sub 14</v>
          </cell>
          <cell r="IJ8" t="str">
            <v>Option Year 14Sub 15</v>
          </cell>
        </row>
      </sheetData>
      <sheetData sheetId="24"/>
      <sheetData sheetId="25">
        <row r="11">
          <cell r="AL11" t="str">
            <v>LOOKUP TABLE - DO NOT DELETE</v>
          </cell>
        </row>
        <row r="12">
          <cell r="AL12" t="str">
            <v>Base YearISPRBContr/Govt</v>
          </cell>
          <cell r="AM12">
            <v>0.31240000000000001</v>
          </cell>
        </row>
        <row r="13">
          <cell r="AL13" t="str">
            <v>Base YearISOverheadContr</v>
          </cell>
          <cell r="AM13">
            <v>0.1988</v>
          </cell>
        </row>
        <row r="14">
          <cell r="AL14" t="str">
            <v>Base YearISOverheadGovt</v>
          </cell>
          <cell r="AM14">
            <v>2.23E-2</v>
          </cell>
        </row>
        <row r="15">
          <cell r="AL15" t="str">
            <v>Base YearISMHContr/Govt</v>
          </cell>
          <cell r="AM15">
            <v>3.0700000000000002E-2</v>
          </cell>
        </row>
        <row r="16">
          <cell r="AL16" t="str">
            <v>Base YearISG&amp;AContr/Govt</v>
          </cell>
          <cell r="AM16">
            <v>9.4700000000000006E-2</v>
          </cell>
        </row>
        <row r="17">
          <cell r="AL17" t="str">
            <v>Base YearISTBD1Contr/Govt</v>
          </cell>
          <cell r="AM17">
            <v>0</v>
          </cell>
        </row>
        <row r="18">
          <cell r="AL18" t="str">
            <v>Base YearISTBD2Contr/Govt</v>
          </cell>
          <cell r="AM18">
            <v>0</v>
          </cell>
        </row>
        <row r="19">
          <cell r="AL19" t="str">
            <v>Base YearISTBD3Contr/Govt</v>
          </cell>
          <cell r="AM19">
            <v>0</v>
          </cell>
        </row>
        <row r="24">
          <cell r="AL24" t="str">
            <v>Option Year 1ISPRBContr/Govt</v>
          </cell>
          <cell r="AM24">
            <v>0.31240000000000001</v>
          </cell>
        </row>
        <row r="25">
          <cell r="AL25" t="str">
            <v>Option Year 1ISOverheadContr</v>
          </cell>
          <cell r="AM25">
            <v>0.1988</v>
          </cell>
        </row>
        <row r="26">
          <cell r="AL26" t="str">
            <v>Option Year 1ISOverheadGovt</v>
          </cell>
          <cell r="AM26">
            <v>2.23E-2</v>
          </cell>
        </row>
        <row r="27">
          <cell r="AL27" t="str">
            <v>Option Year 1ISMHContr/Govt</v>
          </cell>
          <cell r="AM27">
            <v>2.9700000000000001E-2</v>
          </cell>
        </row>
        <row r="28">
          <cell r="AL28" t="str">
            <v>Option Year 1ISG&amp;AContr/Govt</v>
          </cell>
          <cell r="AM28">
            <v>9.1999999999999998E-2</v>
          </cell>
        </row>
        <row r="29">
          <cell r="AL29" t="str">
            <v>Option Year 1ISTBD1Contr/Govt</v>
          </cell>
          <cell r="AM29">
            <v>0</v>
          </cell>
        </row>
        <row r="30">
          <cell r="AL30" t="str">
            <v>Option Year 1ISTBD2Contr/Govt</v>
          </cell>
          <cell r="AM30">
            <v>0</v>
          </cell>
        </row>
        <row r="31">
          <cell r="AL31" t="str">
            <v>Option Year 1ISTBD3Contr/Govt</v>
          </cell>
          <cell r="AM31">
            <v>0</v>
          </cell>
        </row>
        <row r="36">
          <cell r="AL36" t="str">
            <v>Option Year 2ISPRBContr/Govt</v>
          </cell>
          <cell r="AM36">
            <v>0.31240000000000001</v>
          </cell>
        </row>
        <row r="37">
          <cell r="AL37" t="str">
            <v>Option Year 2ISOverheadContr</v>
          </cell>
          <cell r="AM37">
            <v>0.1988</v>
          </cell>
        </row>
        <row r="38">
          <cell r="AL38" t="str">
            <v>Option Year 2ISOverheadGovt</v>
          </cell>
          <cell r="AM38">
            <v>2.23E-2</v>
          </cell>
        </row>
        <row r="39">
          <cell r="AL39" t="str">
            <v>Option Year 2ISMHContr/Govt</v>
          </cell>
          <cell r="AM39">
            <v>2.8799999999999999E-2</v>
          </cell>
        </row>
        <row r="40">
          <cell r="AL40" t="str">
            <v>Option Year 2ISG&amp;AContr/Govt</v>
          </cell>
          <cell r="AM40">
            <v>8.9499999999999996E-2</v>
          </cell>
        </row>
        <row r="41">
          <cell r="AL41" t="str">
            <v>Option Year 2ISTBD1Contr/Govt</v>
          </cell>
          <cell r="AM41">
            <v>0</v>
          </cell>
        </row>
        <row r="42">
          <cell r="AL42" t="str">
            <v>Option Year 2ISTBD2Contr/Govt</v>
          </cell>
          <cell r="AM42">
            <v>0</v>
          </cell>
        </row>
        <row r="43">
          <cell r="AL43" t="str">
            <v>Option Year 2ISTBD3Contr/Govt</v>
          </cell>
          <cell r="AM43">
            <v>0</v>
          </cell>
        </row>
        <row r="48">
          <cell r="AL48" t="str">
            <v>Training and ProcessingISPRBContr/Govt</v>
          </cell>
          <cell r="AM48">
            <v>0.31240000000000001</v>
          </cell>
        </row>
        <row r="49">
          <cell r="AL49" t="str">
            <v>Training and ProcessingISOverheadContr</v>
          </cell>
          <cell r="AM49">
            <v>0.1988</v>
          </cell>
        </row>
        <row r="50">
          <cell r="AL50" t="str">
            <v>Training and ProcessingISOverheadGovt</v>
          </cell>
          <cell r="AM50">
            <v>2.23E-2</v>
          </cell>
        </row>
        <row r="51">
          <cell r="AL51" t="str">
            <v>Training and ProcessingISMHContr/Govt</v>
          </cell>
          <cell r="AM51">
            <v>2.9899999999999999E-2</v>
          </cell>
        </row>
        <row r="52">
          <cell r="AL52" t="str">
            <v>Training and ProcessingISG&amp;AContr/Govt</v>
          </cell>
          <cell r="AM52">
            <v>9.2399999999999996E-2</v>
          </cell>
        </row>
        <row r="53">
          <cell r="AL53" t="str">
            <v>Training and ProcessingISTBD1Contr/Govt</v>
          </cell>
          <cell r="AM53">
            <v>0</v>
          </cell>
        </row>
        <row r="54">
          <cell r="AL54" t="str">
            <v>Training and ProcessingISTBD2Contr/Govt</v>
          </cell>
          <cell r="AM54">
            <v>0</v>
          </cell>
        </row>
        <row r="55">
          <cell r="AL55" t="str">
            <v>Training and ProcessingISTBD3Contr/Govt</v>
          </cell>
          <cell r="AM55">
            <v>0</v>
          </cell>
        </row>
        <row r="60">
          <cell r="AL60" t="str">
            <v>0ISPRBContr/Govt</v>
          </cell>
          <cell r="AM60" t="e">
            <v>#N/A</v>
          </cell>
        </row>
        <row r="61">
          <cell r="AL61" t="str">
            <v>0ISOverheadContr</v>
          </cell>
          <cell r="AM61" t="e">
            <v>#N/A</v>
          </cell>
        </row>
        <row r="62">
          <cell r="AL62" t="str">
            <v>0ISOverheadGovt</v>
          </cell>
          <cell r="AM62" t="e">
            <v>#N/A</v>
          </cell>
        </row>
        <row r="63">
          <cell r="AL63" t="str">
            <v>0ISMHContr/Govt</v>
          </cell>
          <cell r="AM63" t="e">
            <v>#N/A</v>
          </cell>
        </row>
        <row r="64">
          <cell r="AL64" t="str">
            <v>0ISG&amp;AContr/Govt</v>
          </cell>
          <cell r="AM64" t="e">
            <v>#N/A</v>
          </cell>
        </row>
        <row r="65">
          <cell r="AL65" t="str">
            <v>0ISTBD1Contr/Govt</v>
          </cell>
          <cell r="AM65" t="e">
            <v>#N/A</v>
          </cell>
        </row>
        <row r="66">
          <cell r="AL66" t="str">
            <v>0ISTBD2Contr/Govt</v>
          </cell>
          <cell r="AM66" t="e">
            <v>#N/A</v>
          </cell>
        </row>
        <row r="67">
          <cell r="AL67" t="str">
            <v>0ISTBD3Contr/Govt</v>
          </cell>
          <cell r="AM67" t="e">
            <v>#N/A</v>
          </cell>
        </row>
        <row r="72">
          <cell r="AL72" t="str">
            <v>Option Year 5ISPRBContr/Govt</v>
          </cell>
          <cell r="AM72" t="e">
            <v>#DIV/0!</v>
          </cell>
        </row>
        <row r="73">
          <cell r="AL73" t="str">
            <v>Option Year 5ISOverheadContr</v>
          </cell>
          <cell r="AM73" t="e">
            <v>#DIV/0!</v>
          </cell>
        </row>
        <row r="74">
          <cell r="AL74" t="str">
            <v>Option Year 5ISOverheadGovt</v>
          </cell>
          <cell r="AM74" t="e">
            <v>#DIV/0!</v>
          </cell>
        </row>
        <row r="75">
          <cell r="AL75" t="str">
            <v>Option Year 5ISMHContr/Govt</v>
          </cell>
          <cell r="AM75" t="e">
            <v>#DIV/0!</v>
          </cell>
        </row>
        <row r="76">
          <cell r="AL76" t="str">
            <v>Option Year 5ISG&amp;AContr/Govt</v>
          </cell>
          <cell r="AM76" t="e">
            <v>#DIV/0!</v>
          </cell>
        </row>
        <row r="77">
          <cell r="AL77" t="str">
            <v>Option Year 5ISTBD1Contr/Govt</v>
          </cell>
          <cell r="AM77" t="e">
            <v>#DIV/0!</v>
          </cell>
        </row>
        <row r="78">
          <cell r="AL78" t="str">
            <v>Option Year 5ISTBD2Contr/Govt</v>
          </cell>
          <cell r="AM78" t="e">
            <v>#DIV/0!</v>
          </cell>
        </row>
        <row r="79">
          <cell r="AL79" t="str">
            <v>Option Year 5ISTBD3Contr/Govt</v>
          </cell>
          <cell r="AM79" t="e">
            <v>#DIV/0!</v>
          </cell>
        </row>
        <row r="84">
          <cell r="AL84" t="str">
            <v>Option Year 6ISPRBContr/Govt</v>
          </cell>
          <cell r="AM84" t="e">
            <v>#DIV/0!</v>
          </cell>
        </row>
        <row r="85">
          <cell r="AL85" t="str">
            <v>Option Year 6ISOverheadContr</v>
          </cell>
          <cell r="AM85" t="e">
            <v>#DIV/0!</v>
          </cell>
        </row>
        <row r="86">
          <cell r="AL86" t="str">
            <v>Option Year 6ISOverheadGovt</v>
          </cell>
          <cell r="AM86" t="e">
            <v>#DIV/0!</v>
          </cell>
        </row>
        <row r="87">
          <cell r="AL87" t="str">
            <v>Option Year 6ISMHContr/Govt</v>
          </cell>
          <cell r="AM87" t="e">
            <v>#DIV/0!</v>
          </cell>
        </row>
        <row r="88">
          <cell r="AL88" t="str">
            <v>Option Year 6ISG&amp;AContr/Govt</v>
          </cell>
          <cell r="AM88" t="e">
            <v>#DIV/0!</v>
          </cell>
        </row>
        <row r="89">
          <cell r="AL89" t="str">
            <v>Option Year 6ISTBD1Contr/Govt</v>
          </cell>
          <cell r="AM89" t="e">
            <v>#DIV/0!</v>
          </cell>
        </row>
        <row r="90">
          <cell r="AL90" t="str">
            <v>Option Year 6ISTBD2Contr/Govt</v>
          </cell>
          <cell r="AM90" t="e">
            <v>#DIV/0!</v>
          </cell>
        </row>
        <row r="91">
          <cell r="AL91" t="str">
            <v>Option Year 6ISTBD3Contr/Govt</v>
          </cell>
          <cell r="AM91" t="e">
            <v>#DIV/0!</v>
          </cell>
        </row>
        <row r="96">
          <cell r="AL96" t="str">
            <v>Option Year 7ISPRBContr/Govt</v>
          </cell>
          <cell r="AM96" t="e">
            <v>#DIV/0!</v>
          </cell>
        </row>
        <row r="97">
          <cell r="AL97" t="str">
            <v>Option Year 7ISOverheadContr</v>
          </cell>
          <cell r="AM97" t="e">
            <v>#DIV/0!</v>
          </cell>
        </row>
        <row r="98">
          <cell r="AL98" t="str">
            <v>Option Year 7ISOverheadGovt</v>
          </cell>
          <cell r="AM98" t="e">
            <v>#DIV/0!</v>
          </cell>
        </row>
        <row r="99">
          <cell r="AL99" t="str">
            <v>Option Year 7ISMHContr/Govt</v>
          </cell>
          <cell r="AM99" t="e">
            <v>#DIV/0!</v>
          </cell>
        </row>
        <row r="100">
          <cell r="AL100" t="str">
            <v>Option Year 7ISG&amp;AContr/Govt</v>
          </cell>
          <cell r="AM100" t="e">
            <v>#DIV/0!</v>
          </cell>
        </row>
        <row r="101">
          <cell r="AL101" t="str">
            <v>Option Year 7ISTBD1Contr/Govt</v>
          </cell>
          <cell r="AM101" t="e">
            <v>#DIV/0!</v>
          </cell>
        </row>
        <row r="102">
          <cell r="AL102" t="str">
            <v>Option Year 7ISTBD2Contr/Govt</v>
          </cell>
          <cell r="AM102" t="e">
            <v>#DIV/0!</v>
          </cell>
        </row>
        <row r="103">
          <cell r="AL103" t="str">
            <v>Option Year 7ISTBD3Contr/Govt</v>
          </cell>
          <cell r="AM103" t="e">
            <v>#DIV/0!</v>
          </cell>
        </row>
        <row r="108">
          <cell r="AL108" t="str">
            <v>Option Year 8ISPRBContr/Govt</v>
          </cell>
          <cell r="AM108" t="e">
            <v>#DIV/0!</v>
          </cell>
        </row>
        <row r="109">
          <cell r="AL109" t="str">
            <v>Option Year 8ISOverheadContr</v>
          </cell>
          <cell r="AM109" t="e">
            <v>#DIV/0!</v>
          </cell>
        </row>
        <row r="110">
          <cell r="AL110" t="str">
            <v>Option Year 8ISOverheadGovt</v>
          </cell>
          <cell r="AM110" t="e">
            <v>#DIV/0!</v>
          </cell>
        </row>
        <row r="111">
          <cell r="AL111" t="str">
            <v>Option Year 8ISMHContr/Govt</v>
          </cell>
          <cell r="AM111" t="e">
            <v>#DIV/0!</v>
          </cell>
        </row>
        <row r="112">
          <cell r="AL112" t="str">
            <v>Option Year 8ISG&amp;AContr/Govt</v>
          </cell>
          <cell r="AM112" t="e">
            <v>#DIV/0!</v>
          </cell>
        </row>
        <row r="113">
          <cell r="AL113" t="str">
            <v>Option Year 8ISTBD1Contr/Govt</v>
          </cell>
          <cell r="AM113" t="e">
            <v>#DIV/0!</v>
          </cell>
        </row>
        <row r="114">
          <cell r="AL114" t="str">
            <v>Option Year 8ISTBD2Contr/Govt</v>
          </cell>
          <cell r="AM114" t="e">
            <v>#DIV/0!</v>
          </cell>
        </row>
        <row r="115">
          <cell r="AL115" t="str">
            <v>Option Year 8ISTBD3Contr/Govt</v>
          </cell>
          <cell r="AM115" t="e">
            <v>#DIV/0!</v>
          </cell>
        </row>
        <row r="120">
          <cell r="AL120" t="str">
            <v>Option Year 9ISPRBContr/Govt</v>
          </cell>
          <cell r="AM120" t="e">
            <v>#DIV/0!</v>
          </cell>
        </row>
        <row r="121">
          <cell r="AL121" t="str">
            <v>Option Year 9ISOverheadContr</v>
          </cell>
          <cell r="AM121" t="e">
            <v>#DIV/0!</v>
          </cell>
        </row>
        <row r="122">
          <cell r="AL122" t="str">
            <v>Option Year 9ISOverheadGovt</v>
          </cell>
          <cell r="AM122" t="e">
            <v>#DIV/0!</v>
          </cell>
        </row>
        <row r="123">
          <cell r="AL123" t="str">
            <v>Option Year 9ISMHContr/Govt</v>
          </cell>
          <cell r="AM123" t="e">
            <v>#DIV/0!</v>
          </cell>
        </row>
        <row r="124">
          <cell r="AL124" t="str">
            <v>Option Year 9ISG&amp;AContr/Govt</v>
          </cell>
          <cell r="AM124" t="e">
            <v>#DIV/0!</v>
          </cell>
        </row>
        <row r="125">
          <cell r="AL125" t="str">
            <v>Option Year 9ISTBD1Contr/Govt</v>
          </cell>
          <cell r="AM125" t="e">
            <v>#DIV/0!</v>
          </cell>
        </row>
        <row r="126">
          <cell r="AL126" t="str">
            <v>Option Year 9ISTBD2Contr/Govt</v>
          </cell>
          <cell r="AM126" t="e">
            <v>#DIV/0!</v>
          </cell>
        </row>
        <row r="127">
          <cell r="AL127" t="str">
            <v>Option Year 9ISTBD3Contr/Govt</v>
          </cell>
          <cell r="AM127" t="e">
            <v>#DIV/0!</v>
          </cell>
        </row>
        <row r="132">
          <cell r="AL132" t="str">
            <v>Option Year 10ISPRBContr/Govt</v>
          </cell>
          <cell r="AM132" t="e">
            <v>#DIV/0!</v>
          </cell>
        </row>
        <row r="133">
          <cell r="AL133" t="str">
            <v>Option Year 10ISOverheadContr</v>
          </cell>
          <cell r="AM133" t="e">
            <v>#DIV/0!</v>
          </cell>
        </row>
        <row r="134">
          <cell r="AL134" t="str">
            <v>Option Year 10ISOverheadGovt</v>
          </cell>
          <cell r="AM134" t="e">
            <v>#DIV/0!</v>
          </cell>
        </row>
        <row r="135">
          <cell r="AL135" t="str">
            <v>Option Year 10ISMHContr/Govt</v>
          </cell>
          <cell r="AM135" t="e">
            <v>#DIV/0!</v>
          </cell>
        </row>
        <row r="136">
          <cell r="AL136" t="str">
            <v>Option Year 10ISG&amp;AContr/Govt</v>
          </cell>
          <cell r="AM136" t="e">
            <v>#DIV/0!</v>
          </cell>
        </row>
        <row r="137">
          <cell r="AL137" t="str">
            <v>Option Year 10ISTBD1Contr/Govt</v>
          </cell>
          <cell r="AM137" t="e">
            <v>#DIV/0!</v>
          </cell>
        </row>
        <row r="138">
          <cell r="AL138" t="str">
            <v>Option Year 10ISTBD2Contr/Govt</v>
          </cell>
          <cell r="AM138" t="e">
            <v>#DIV/0!</v>
          </cell>
        </row>
        <row r="139">
          <cell r="AL139" t="str">
            <v>Option Year 10ISTBD3Contr/Govt</v>
          </cell>
          <cell r="AM139" t="e">
            <v>#DIV/0!</v>
          </cell>
        </row>
        <row r="144">
          <cell r="AL144" t="str">
            <v>Option Year 11ISPRBContr/Govt</v>
          </cell>
          <cell r="AM144" t="e">
            <v>#DIV/0!</v>
          </cell>
        </row>
        <row r="145">
          <cell r="AL145" t="str">
            <v>Option Year 11ISOverheadContr</v>
          </cell>
          <cell r="AM145" t="e">
            <v>#DIV/0!</v>
          </cell>
        </row>
        <row r="146">
          <cell r="AL146" t="str">
            <v>Option Year 11ISOverheadGovt</v>
          </cell>
          <cell r="AM146" t="e">
            <v>#DIV/0!</v>
          </cell>
        </row>
        <row r="147">
          <cell r="AL147" t="str">
            <v>Option Year 11ISMHContr/Govt</v>
          </cell>
          <cell r="AM147" t="e">
            <v>#DIV/0!</v>
          </cell>
        </row>
        <row r="148">
          <cell r="AL148" t="str">
            <v>Option Year 11ISG&amp;AContr/Govt</v>
          </cell>
          <cell r="AM148" t="e">
            <v>#DIV/0!</v>
          </cell>
        </row>
        <row r="149">
          <cell r="AL149" t="str">
            <v>Option Year 11ISTBD1Contr/Govt</v>
          </cell>
          <cell r="AM149" t="e">
            <v>#DIV/0!</v>
          </cell>
        </row>
        <row r="150">
          <cell r="AL150" t="str">
            <v>Option Year 11ISTBD2Contr/Govt</v>
          </cell>
          <cell r="AM150" t="e">
            <v>#DIV/0!</v>
          </cell>
        </row>
        <row r="151">
          <cell r="AL151" t="str">
            <v>Option Year 11ISTBD3Contr/Govt</v>
          </cell>
          <cell r="AM151" t="e">
            <v>#DIV/0!</v>
          </cell>
        </row>
        <row r="156">
          <cell r="AL156" t="str">
            <v>Option Year 12ISPRBContr/Govt</v>
          </cell>
          <cell r="AM156" t="e">
            <v>#DIV/0!</v>
          </cell>
        </row>
        <row r="157">
          <cell r="AL157" t="str">
            <v>Option Year 12ISOverheadContr</v>
          </cell>
          <cell r="AM157" t="e">
            <v>#DIV/0!</v>
          </cell>
        </row>
        <row r="158">
          <cell r="AL158" t="str">
            <v>Option Year 12ISOverheadGovt</v>
          </cell>
          <cell r="AM158" t="e">
            <v>#DIV/0!</v>
          </cell>
        </row>
        <row r="159">
          <cell r="AL159" t="str">
            <v>Option Year 12ISMHContr/Govt</v>
          </cell>
          <cell r="AM159" t="e">
            <v>#DIV/0!</v>
          </cell>
        </row>
        <row r="160">
          <cell r="AL160" t="str">
            <v>Option Year 12ISG&amp;AContr/Govt</v>
          </cell>
          <cell r="AM160" t="e">
            <v>#DIV/0!</v>
          </cell>
        </row>
        <row r="161">
          <cell r="AL161" t="str">
            <v>Option Year 12ISTBD1Contr/Govt</v>
          </cell>
          <cell r="AM161" t="e">
            <v>#DIV/0!</v>
          </cell>
        </row>
        <row r="162">
          <cell r="AL162" t="str">
            <v>Option Year 12ISTBD2Contr/Govt</v>
          </cell>
          <cell r="AM162" t="e">
            <v>#DIV/0!</v>
          </cell>
        </row>
        <row r="163">
          <cell r="AL163" t="str">
            <v>Option Year 12ISTBD3Contr/Govt</v>
          </cell>
          <cell r="AM163" t="e">
            <v>#DIV/0!</v>
          </cell>
        </row>
        <row r="168">
          <cell r="AL168" t="str">
            <v>Option Year 13ISPRBContr/Govt</v>
          </cell>
          <cell r="AM168" t="e">
            <v>#DIV/0!</v>
          </cell>
        </row>
        <row r="169">
          <cell r="AL169" t="str">
            <v>Option Year 13ISOverheadContr</v>
          </cell>
          <cell r="AM169" t="e">
            <v>#DIV/0!</v>
          </cell>
        </row>
        <row r="170">
          <cell r="AL170" t="str">
            <v>Option Year 13ISOverheadGovt</v>
          </cell>
          <cell r="AM170" t="e">
            <v>#DIV/0!</v>
          </cell>
        </row>
        <row r="171">
          <cell r="AL171" t="str">
            <v>Option Year 13ISMHContr/Govt</v>
          </cell>
          <cell r="AM171" t="e">
            <v>#DIV/0!</v>
          </cell>
        </row>
        <row r="172">
          <cell r="AL172" t="str">
            <v>Option Year 13ISG&amp;AContr/Govt</v>
          </cell>
          <cell r="AM172" t="e">
            <v>#DIV/0!</v>
          </cell>
        </row>
        <row r="173">
          <cell r="AL173" t="str">
            <v>Option Year 13ISTBD1Contr/Govt</v>
          </cell>
          <cell r="AM173" t="e">
            <v>#DIV/0!</v>
          </cell>
        </row>
        <row r="174">
          <cell r="AL174" t="str">
            <v>Option Year 13ISTBD2Contr/Govt</v>
          </cell>
          <cell r="AM174" t="e">
            <v>#DIV/0!</v>
          </cell>
        </row>
        <row r="175">
          <cell r="AL175" t="str">
            <v>Option Year 13ISTBD3Contr/Govt</v>
          </cell>
          <cell r="AM175" t="e">
            <v>#DIV/0!</v>
          </cell>
        </row>
        <row r="180">
          <cell r="AL180" t="str">
            <v>Option Year 14ISPRBContr/Govt</v>
          </cell>
          <cell r="AM180" t="e">
            <v>#DIV/0!</v>
          </cell>
        </row>
        <row r="181">
          <cell r="AL181" t="str">
            <v>Option Year 14ISOverheadContr</v>
          </cell>
          <cell r="AM181" t="e">
            <v>#DIV/0!</v>
          </cell>
        </row>
        <row r="182">
          <cell r="AL182" t="str">
            <v>Option Year 14ISOverheadGovt</v>
          </cell>
          <cell r="AM182" t="e">
            <v>#DIV/0!</v>
          </cell>
        </row>
        <row r="183">
          <cell r="AL183" t="str">
            <v>Option Year 14ISMHContr/Govt</v>
          </cell>
          <cell r="AM183" t="e">
            <v>#DIV/0!</v>
          </cell>
        </row>
        <row r="184">
          <cell r="AL184" t="str">
            <v>Option Year 14ISG&amp;AContr/Govt</v>
          </cell>
          <cell r="AM184" t="e">
            <v>#DIV/0!</v>
          </cell>
        </row>
        <row r="185">
          <cell r="AL185" t="str">
            <v>Option Year 14ISTBD1Contr/Govt</v>
          </cell>
          <cell r="AM185" t="e">
            <v>#DIV/0!</v>
          </cell>
        </row>
        <row r="186">
          <cell r="AL186" t="str">
            <v>Option Year 14ISTBD2Contr/Govt</v>
          </cell>
          <cell r="AM186" t="e">
            <v>#DIV/0!</v>
          </cell>
        </row>
        <row r="187">
          <cell r="AL187" t="str">
            <v>Option Year 14ISTBD3Contr/Govt</v>
          </cell>
          <cell r="AM187" t="e">
            <v>#DIV/0!</v>
          </cell>
        </row>
        <row r="193">
          <cell r="AL193" t="str">
            <v>LOOKUP TABLE - DO NOT DELETE</v>
          </cell>
        </row>
        <row r="194">
          <cell r="AL194" t="str">
            <v>Base YearESDPRBContr/Govt</v>
          </cell>
          <cell r="AM194">
            <v>0.35099999999999998</v>
          </cell>
        </row>
        <row r="195">
          <cell r="AL195" t="str">
            <v>Base YearESDOverheadContr</v>
          </cell>
          <cell r="AM195">
            <v>0.17249999999999999</v>
          </cell>
        </row>
        <row r="196">
          <cell r="AL196" t="str">
            <v>Base YearESDOverheadGovt</v>
          </cell>
          <cell r="AM196">
            <v>3.1E-2</v>
          </cell>
        </row>
        <row r="197">
          <cell r="AL197" t="str">
            <v>Base YearESDMHContr/Govt</v>
          </cell>
          <cell r="AM197">
            <v>3.0300000000000001E-2</v>
          </cell>
        </row>
        <row r="198">
          <cell r="AL198" t="str">
            <v>Base YearESDG&amp;AContr/Govt</v>
          </cell>
          <cell r="AM198">
            <v>9.3100000000000002E-2</v>
          </cell>
        </row>
        <row r="199">
          <cell r="AL199" t="str">
            <v>Base YearESDTBD1Contr/Govt</v>
          </cell>
          <cell r="AM199">
            <v>0</v>
          </cell>
        </row>
        <row r="200">
          <cell r="AL200" t="str">
            <v>Base YearESDTBD2Contr/Govt</v>
          </cell>
          <cell r="AM200">
            <v>0</v>
          </cell>
        </row>
        <row r="201">
          <cell r="AL201" t="str">
            <v>Base YearESDTBD3Contr/Govt</v>
          </cell>
          <cell r="AM201">
            <v>0</v>
          </cell>
        </row>
        <row r="206">
          <cell r="AL206" t="str">
            <v>Option Year 1ESDPRBContr/Govt</v>
          </cell>
          <cell r="AM206">
            <v>0.35099999999999998</v>
          </cell>
        </row>
        <row r="207">
          <cell r="AL207" t="str">
            <v>Option Year 1ESDOverheadContr</v>
          </cell>
          <cell r="AM207">
            <v>0.17249999999999999</v>
          </cell>
        </row>
        <row r="208">
          <cell r="AL208" t="str">
            <v>Option Year 1ESDOverheadGovt</v>
          </cell>
          <cell r="AM208">
            <v>3.1E-2</v>
          </cell>
        </row>
        <row r="209">
          <cell r="AL209" t="str">
            <v>Option Year 1ESDMHContr/Govt</v>
          </cell>
          <cell r="AM209">
            <v>2.93E-2</v>
          </cell>
        </row>
        <row r="210">
          <cell r="AL210" t="str">
            <v>Option Year 1ESDG&amp;AContr/Govt</v>
          </cell>
          <cell r="AM210">
            <v>9.0499999999999997E-2</v>
          </cell>
        </row>
        <row r="211">
          <cell r="AL211" t="str">
            <v>Option Year 1ESDTBD1Contr/Govt</v>
          </cell>
          <cell r="AM211">
            <v>0</v>
          </cell>
        </row>
        <row r="212">
          <cell r="AL212" t="str">
            <v>Option Year 1ESDTBD2Contr/Govt</v>
          </cell>
          <cell r="AM212">
            <v>0</v>
          </cell>
        </row>
        <row r="213">
          <cell r="AL213" t="str">
            <v>Option Year 1ESDTBD3Contr/Govt</v>
          </cell>
          <cell r="AM213">
            <v>0</v>
          </cell>
        </row>
        <row r="218">
          <cell r="AL218" t="str">
            <v>Option Year 2ESDPRBContr/Govt</v>
          </cell>
          <cell r="AM218">
            <v>0.35099999999999998</v>
          </cell>
        </row>
        <row r="219">
          <cell r="AL219" t="str">
            <v>Option Year 2ESDOverheadContr</v>
          </cell>
          <cell r="AM219">
            <v>0.17249999999999999</v>
          </cell>
        </row>
        <row r="220">
          <cell r="AL220" t="str">
            <v>Option Year 2ESDOverheadGovt</v>
          </cell>
          <cell r="AM220">
            <v>3.1E-2</v>
          </cell>
        </row>
        <row r="221">
          <cell r="AL221" t="str">
            <v>Option Year 2ESDMHContr/Govt</v>
          </cell>
          <cell r="AM221">
            <v>2.8400000000000002E-2</v>
          </cell>
        </row>
        <row r="222">
          <cell r="AL222" t="str">
            <v>Option Year 2ESDG&amp;AContr/Govt</v>
          </cell>
          <cell r="AM222">
            <v>8.7999999999999995E-2</v>
          </cell>
        </row>
        <row r="223">
          <cell r="AL223" t="str">
            <v>Option Year 2ESDTBD1Contr/Govt</v>
          </cell>
          <cell r="AM223">
            <v>0</v>
          </cell>
        </row>
        <row r="224">
          <cell r="AL224" t="str">
            <v>Option Year 2ESDTBD2Contr/Govt</v>
          </cell>
          <cell r="AM224">
            <v>0</v>
          </cell>
        </row>
        <row r="225">
          <cell r="AL225" t="str">
            <v>Option Year 2ESDTBD3Contr/Govt</v>
          </cell>
          <cell r="AM225">
            <v>0</v>
          </cell>
        </row>
        <row r="230">
          <cell r="AL230" t="str">
            <v>Training and ProcessingESDPRBContr/Govt</v>
          </cell>
          <cell r="AM230">
            <v>0.35099999999999998</v>
          </cell>
        </row>
        <row r="231">
          <cell r="AL231" t="str">
            <v>Training and ProcessingESDOverheadContr</v>
          </cell>
          <cell r="AM231">
            <v>0.17249999999999999</v>
          </cell>
        </row>
        <row r="232">
          <cell r="AL232" t="str">
            <v>Training and ProcessingESDOverheadGovt</v>
          </cell>
          <cell r="AM232">
            <v>3.1E-2</v>
          </cell>
        </row>
        <row r="233">
          <cell r="AL233" t="str">
            <v>Training and ProcessingESDMHContr/Govt</v>
          </cell>
          <cell r="AM233">
            <v>2.9499999999999998E-2</v>
          </cell>
        </row>
        <row r="234">
          <cell r="AL234" t="str">
            <v>Training and ProcessingESDG&amp;AContr/Govt</v>
          </cell>
          <cell r="AM234">
            <v>9.0899999999999995E-2</v>
          </cell>
        </row>
        <row r="235">
          <cell r="AL235" t="str">
            <v>Training and ProcessingESDTBD1Contr/Govt</v>
          </cell>
          <cell r="AM235">
            <v>0</v>
          </cell>
        </row>
        <row r="236">
          <cell r="AL236" t="str">
            <v>Training and ProcessingESDTBD2Contr/Govt</v>
          </cell>
          <cell r="AM236">
            <v>0</v>
          </cell>
        </row>
        <row r="237">
          <cell r="AL237" t="str">
            <v>Training and ProcessingESDTBD3Contr/Govt</v>
          </cell>
          <cell r="AM237">
            <v>0</v>
          </cell>
        </row>
        <row r="242">
          <cell r="AL242" t="str">
            <v>0ESDPRBContr/Govt</v>
          </cell>
          <cell r="AM242" t="e">
            <v>#N/A</v>
          </cell>
        </row>
        <row r="243">
          <cell r="AL243" t="str">
            <v>0ESDOverheadContr</v>
          </cell>
          <cell r="AM243" t="e">
            <v>#N/A</v>
          </cell>
        </row>
        <row r="244">
          <cell r="AL244" t="str">
            <v>0ESDOverheadGovt</v>
          </cell>
          <cell r="AM244" t="e">
            <v>#N/A</v>
          </cell>
        </row>
        <row r="245">
          <cell r="AL245" t="str">
            <v>0ESDMHContr/Govt</v>
          </cell>
          <cell r="AM245" t="e">
            <v>#N/A</v>
          </cell>
        </row>
        <row r="246">
          <cell r="AL246" t="str">
            <v>0ESDG&amp;AContr/Govt</v>
          </cell>
          <cell r="AM246" t="e">
            <v>#N/A</v>
          </cell>
        </row>
        <row r="247">
          <cell r="AL247" t="str">
            <v>0ESDTBD1Contr/Govt</v>
          </cell>
          <cell r="AM247" t="e">
            <v>#N/A</v>
          </cell>
        </row>
        <row r="248">
          <cell r="AL248" t="str">
            <v>0ESDTBD2Contr/Govt</v>
          </cell>
          <cell r="AM248" t="e">
            <v>#N/A</v>
          </cell>
        </row>
        <row r="249">
          <cell r="AL249" t="str">
            <v>0ESDTBD3Contr/Govt</v>
          </cell>
          <cell r="AM249" t="e">
            <v>#N/A</v>
          </cell>
        </row>
        <row r="254">
          <cell r="AL254" t="str">
            <v>Option Year 5ESDPRBContr/Govt</v>
          </cell>
          <cell r="AM254" t="e">
            <v>#DIV/0!</v>
          </cell>
        </row>
        <row r="255">
          <cell r="AL255" t="str">
            <v>Option Year 5ESDOverheadContr</v>
          </cell>
          <cell r="AM255" t="e">
            <v>#DIV/0!</v>
          </cell>
        </row>
        <row r="256">
          <cell r="AL256" t="str">
            <v>Option Year 5ESDOverheadGovt</v>
          </cell>
          <cell r="AM256" t="e">
            <v>#DIV/0!</v>
          </cell>
        </row>
        <row r="257">
          <cell r="AL257" t="str">
            <v>Option Year 5ESDMHContr/Govt</v>
          </cell>
          <cell r="AM257" t="e">
            <v>#DIV/0!</v>
          </cell>
        </row>
        <row r="258">
          <cell r="AL258" t="str">
            <v>Option Year 5ESDG&amp;AContr/Govt</v>
          </cell>
          <cell r="AM258" t="e">
            <v>#DIV/0!</v>
          </cell>
        </row>
        <row r="259">
          <cell r="AL259" t="str">
            <v>Option Year 5ESDTBD1Contr/Govt</v>
          </cell>
          <cell r="AM259" t="e">
            <v>#DIV/0!</v>
          </cell>
        </row>
        <row r="260">
          <cell r="AL260" t="str">
            <v>Option Year 5ESDTBD2Contr/Govt</v>
          </cell>
          <cell r="AM260" t="e">
            <v>#DIV/0!</v>
          </cell>
        </row>
        <row r="261">
          <cell r="AL261" t="str">
            <v>Option Year 5ESDTBD3Contr/Govt</v>
          </cell>
          <cell r="AM261" t="e">
            <v>#DIV/0!</v>
          </cell>
        </row>
        <row r="266">
          <cell r="AL266" t="str">
            <v>Option Year 6ESDPRBContr/Govt</v>
          </cell>
          <cell r="AM266" t="e">
            <v>#DIV/0!</v>
          </cell>
        </row>
        <row r="267">
          <cell r="AL267" t="str">
            <v>Option Year 6ESDOverheadContr</v>
          </cell>
          <cell r="AM267" t="e">
            <v>#DIV/0!</v>
          </cell>
        </row>
        <row r="268">
          <cell r="AL268" t="str">
            <v>Option Year 6ESDOverheadGovt</v>
          </cell>
          <cell r="AM268" t="e">
            <v>#DIV/0!</v>
          </cell>
        </row>
        <row r="269">
          <cell r="AL269" t="str">
            <v>Option Year 6ESDMHContr/Govt</v>
          </cell>
          <cell r="AM269" t="e">
            <v>#DIV/0!</v>
          </cell>
        </row>
        <row r="270">
          <cell r="AL270" t="str">
            <v>Option Year 6ESDG&amp;AContr/Govt</v>
          </cell>
          <cell r="AM270" t="e">
            <v>#DIV/0!</v>
          </cell>
        </row>
        <row r="271">
          <cell r="AL271" t="str">
            <v>Option Year 6ESDTBD1Contr/Govt</v>
          </cell>
          <cell r="AM271" t="e">
            <v>#DIV/0!</v>
          </cell>
        </row>
        <row r="272">
          <cell r="AL272" t="str">
            <v>Option Year 6ESDTBD2Contr/Govt</v>
          </cell>
          <cell r="AM272" t="e">
            <v>#DIV/0!</v>
          </cell>
        </row>
        <row r="273">
          <cell r="AL273" t="str">
            <v>Option Year 6ESDTBD3Contr/Govt</v>
          </cell>
          <cell r="AM273" t="e">
            <v>#DIV/0!</v>
          </cell>
        </row>
        <row r="278">
          <cell r="AL278" t="str">
            <v>Option Year 7ESDPRBContr/Govt</v>
          </cell>
          <cell r="AM278" t="e">
            <v>#DIV/0!</v>
          </cell>
        </row>
        <row r="279">
          <cell r="AL279" t="str">
            <v>Option Year 7ESDOverheadContr</v>
          </cell>
          <cell r="AM279" t="e">
            <v>#DIV/0!</v>
          </cell>
        </row>
        <row r="280">
          <cell r="AL280" t="str">
            <v>Option Year 7ESDOverheadGovt</v>
          </cell>
          <cell r="AM280" t="e">
            <v>#DIV/0!</v>
          </cell>
        </row>
        <row r="281">
          <cell r="AL281" t="str">
            <v>Option Year 7ESDMHContr/Govt</v>
          </cell>
          <cell r="AM281" t="e">
            <v>#DIV/0!</v>
          </cell>
        </row>
        <row r="282">
          <cell r="AL282" t="str">
            <v>Option Year 7ESDG&amp;AContr/Govt</v>
          </cell>
          <cell r="AM282" t="e">
            <v>#DIV/0!</v>
          </cell>
        </row>
        <row r="283">
          <cell r="AL283" t="str">
            <v>Option Year 7ESDTBD1Contr/Govt</v>
          </cell>
          <cell r="AM283" t="e">
            <v>#DIV/0!</v>
          </cell>
        </row>
        <row r="284">
          <cell r="AL284" t="str">
            <v>Option Year 7ESDTBD2Contr/Govt</v>
          </cell>
          <cell r="AM284" t="e">
            <v>#DIV/0!</v>
          </cell>
        </row>
        <row r="285">
          <cell r="AL285" t="str">
            <v>Option Year 7ESDTBD3Contr/Govt</v>
          </cell>
          <cell r="AM285" t="e">
            <v>#DIV/0!</v>
          </cell>
        </row>
        <row r="290">
          <cell r="AL290" t="str">
            <v>Option Year 8ESDPRBContr/Govt</v>
          </cell>
          <cell r="AM290" t="e">
            <v>#DIV/0!</v>
          </cell>
        </row>
        <row r="291">
          <cell r="AL291" t="str">
            <v>Option Year 8ESDOverheadContr</v>
          </cell>
          <cell r="AM291" t="e">
            <v>#DIV/0!</v>
          </cell>
        </row>
        <row r="292">
          <cell r="AL292" t="str">
            <v>Option Year 8ESDOverheadGovt</v>
          </cell>
          <cell r="AM292" t="e">
            <v>#DIV/0!</v>
          </cell>
        </row>
        <row r="293">
          <cell r="AL293" t="str">
            <v>Option Year 8ESDMHContr/Govt</v>
          </cell>
          <cell r="AM293" t="e">
            <v>#DIV/0!</v>
          </cell>
        </row>
        <row r="294">
          <cell r="AL294" t="str">
            <v>Option Year 8ESDG&amp;AContr/Govt</v>
          </cell>
          <cell r="AM294" t="e">
            <v>#DIV/0!</v>
          </cell>
        </row>
        <row r="295">
          <cell r="AL295" t="str">
            <v>Option Year 8ESDTBD1Contr/Govt</v>
          </cell>
          <cell r="AM295" t="e">
            <v>#DIV/0!</v>
          </cell>
        </row>
        <row r="296">
          <cell r="AL296" t="str">
            <v>Option Year 8ESDTBD2Contr/Govt</v>
          </cell>
          <cell r="AM296" t="e">
            <v>#DIV/0!</v>
          </cell>
        </row>
        <row r="297">
          <cell r="AL297" t="str">
            <v>Option Year 8ESDTBD3Contr/Govt</v>
          </cell>
          <cell r="AM297" t="e">
            <v>#DIV/0!</v>
          </cell>
        </row>
        <row r="302">
          <cell r="AL302" t="str">
            <v>Option Year 9ESDPRBContr/Govt</v>
          </cell>
          <cell r="AM302" t="e">
            <v>#DIV/0!</v>
          </cell>
        </row>
        <row r="303">
          <cell r="AL303" t="str">
            <v>Option Year 9ESDOverheadContr</v>
          </cell>
          <cell r="AM303" t="e">
            <v>#DIV/0!</v>
          </cell>
        </row>
        <row r="304">
          <cell r="AL304" t="str">
            <v>Option Year 9ESDOverheadGovt</v>
          </cell>
          <cell r="AM304" t="e">
            <v>#DIV/0!</v>
          </cell>
        </row>
        <row r="305">
          <cell r="AL305" t="str">
            <v>Option Year 9ESDMHContr/Govt</v>
          </cell>
          <cell r="AM305" t="e">
            <v>#DIV/0!</v>
          </cell>
        </row>
        <row r="306">
          <cell r="AL306" t="str">
            <v>Option Year 9ESDG&amp;AContr/Govt</v>
          </cell>
          <cell r="AM306" t="e">
            <v>#DIV/0!</v>
          </cell>
        </row>
        <row r="307">
          <cell r="AL307" t="str">
            <v>Option Year 9ESDTBD1Contr/Govt</v>
          </cell>
          <cell r="AM307" t="e">
            <v>#DIV/0!</v>
          </cell>
        </row>
        <row r="308">
          <cell r="AL308" t="str">
            <v>Option Year 9ESDTBD2Contr/Govt</v>
          </cell>
          <cell r="AM308" t="e">
            <v>#DIV/0!</v>
          </cell>
        </row>
        <row r="309">
          <cell r="AL309" t="str">
            <v>Option Year 9ESDTBD3Contr/Govt</v>
          </cell>
          <cell r="AM309" t="e">
            <v>#DIV/0!</v>
          </cell>
        </row>
        <row r="314">
          <cell r="AL314" t="str">
            <v>Option Year 10ESDPRBContr/Govt</v>
          </cell>
          <cell r="AM314" t="e">
            <v>#DIV/0!</v>
          </cell>
        </row>
        <row r="315">
          <cell r="AL315" t="str">
            <v>Option Year 10ESDOverheadContr</v>
          </cell>
          <cell r="AM315" t="e">
            <v>#DIV/0!</v>
          </cell>
        </row>
        <row r="316">
          <cell r="AL316" t="str">
            <v>Option Year 10ESDOverheadGovt</v>
          </cell>
          <cell r="AM316" t="e">
            <v>#DIV/0!</v>
          </cell>
        </row>
        <row r="317">
          <cell r="AL317" t="str">
            <v>Option Year 10ESDMHContr/Govt</v>
          </cell>
          <cell r="AM317" t="e">
            <v>#DIV/0!</v>
          </cell>
        </row>
        <row r="318">
          <cell r="AL318" t="str">
            <v>Option Year 10ESDG&amp;AContr/Govt</v>
          </cell>
          <cell r="AM318" t="e">
            <v>#DIV/0!</v>
          </cell>
        </row>
        <row r="319">
          <cell r="AL319" t="str">
            <v>Option Year 10ESDTBD1Contr/Govt</v>
          </cell>
          <cell r="AM319" t="e">
            <v>#DIV/0!</v>
          </cell>
        </row>
        <row r="320">
          <cell r="AL320" t="str">
            <v>Option Year 10ESDTBD2Contr/Govt</v>
          </cell>
          <cell r="AM320" t="e">
            <v>#DIV/0!</v>
          </cell>
        </row>
        <row r="321">
          <cell r="AL321" t="str">
            <v>Option Year 10ESDTBD3Contr/Govt</v>
          </cell>
          <cell r="AM321" t="e">
            <v>#DIV/0!</v>
          </cell>
        </row>
        <row r="326">
          <cell r="AL326" t="str">
            <v>Option Year 11ESDPRBContr/Govt</v>
          </cell>
          <cell r="AM326" t="e">
            <v>#DIV/0!</v>
          </cell>
        </row>
        <row r="327">
          <cell r="AL327" t="str">
            <v>Option Year 11ESDOverheadContr</v>
          </cell>
          <cell r="AM327" t="e">
            <v>#DIV/0!</v>
          </cell>
        </row>
        <row r="328">
          <cell r="AL328" t="str">
            <v>Option Year 11ESDOverheadGovt</v>
          </cell>
          <cell r="AM328" t="e">
            <v>#DIV/0!</v>
          </cell>
        </row>
        <row r="329">
          <cell r="AL329" t="str">
            <v>Option Year 11ESDMHContr/Govt</v>
          </cell>
          <cell r="AM329" t="e">
            <v>#DIV/0!</v>
          </cell>
        </row>
        <row r="330">
          <cell r="AL330" t="str">
            <v>Option Year 11ESDG&amp;AContr/Govt</v>
          </cell>
          <cell r="AM330" t="e">
            <v>#DIV/0!</v>
          </cell>
        </row>
        <row r="331">
          <cell r="AL331" t="str">
            <v>Option Year 11ESDTBD1Contr/Govt</v>
          </cell>
          <cell r="AM331" t="e">
            <v>#DIV/0!</v>
          </cell>
        </row>
        <row r="332">
          <cell r="AL332" t="str">
            <v>Option Year 11ESDTBD2Contr/Govt</v>
          </cell>
          <cell r="AM332" t="e">
            <v>#DIV/0!</v>
          </cell>
        </row>
        <row r="333">
          <cell r="AL333" t="str">
            <v>Option Year 11ESDTBD3Contr/Govt</v>
          </cell>
          <cell r="AM333" t="e">
            <v>#DIV/0!</v>
          </cell>
        </row>
        <row r="338">
          <cell r="AL338" t="str">
            <v>Option Year 12ESDPRBContr/Govt</v>
          </cell>
          <cell r="AM338" t="e">
            <v>#DIV/0!</v>
          </cell>
        </row>
        <row r="339">
          <cell r="AL339" t="str">
            <v>Option Year 12ESDOverheadContr</v>
          </cell>
          <cell r="AM339" t="e">
            <v>#DIV/0!</v>
          </cell>
        </row>
        <row r="340">
          <cell r="AL340" t="str">
            <v>Option Year 12ESDOverheadGovt</v>
          </cell>
          <cell r="AM340" t="e">
            <v>#DIV/0!</v>
          </cell>
        </row>
        <row r="341">
          <cell r="AL341" t="str">
            <v>Option Year 12ESDMHContr/Govt</v>
          </cell>
          <cell r="AM341" t="e">
            <v>#DIV/0!</v>
          </cell>
        </row>
        <row r="342">
          <cell r="AL342" t="str">
            <v>Option Year 12ESDG&amp;AContr/Govt</v>
          </cell>
          <cell r="AM342" t="e">
            <v>#DIV/0!</v>
          </cell>
        </row>
        <row r="343">
          <cell r="AL343" t="str">
            <v>Option Year 12ESDTBD1Contr/Govt</v>
          </cell>
          <cell r="AM343" t="e">
            <v>#DIV/0!</v>
          </cell>
        </row>
        <row r="344">
          <cell r="AL344" t="str">
            <v>Option Year 12ESDTBD2Contr/Govt</v>
          </cell>
          <cell r="AM344" t="e">
            <v>#DIV/0!</v>
          </cell>
        </row>
        <row r="345">
          <cell r="AL345" t="str">
            <v>Option Year 12ESDTBD3Contr/Govt</v>
          </cell>
          <cell r="AM345" t="e">
            <v>#DIV/0!</v>
          </cell>
        </row>
        <row r="350">
          <cell r="AL350" t="str">
            <v>Option Year 13ESDPRBContr/Govt</v>
          </cell>
          <cell r="AM350" t="e">
            <v>#DIV/0!</v>
          </cell>
        </row>
        <row r="351">
          <cell r="AL351" t="str">
            <v>Option Year 13ESDOverheadContr</v>
          </cell>
          <cell r="AM351" t="e">
            <v>#DIV/0!</v>
          </cell>
        </row>
        <row r="352">
          <cell r="AL352" t="str">
            <v>Option Year 13ESDOverheadGovt</v>
          </cell>
          <cell r="AM352" t="e">
            <v>#DIV/0!</v>
          </cell>
        </row>
        <row r="353">
          <cell r="AL353" t="str">
            <v>Option Year 13ESDMHContr/Govt</v>
          </cell>
          <cell r="AM353" t="e">
            <v>#DIV/0!</v>
          </cell>
        </row>
        <row r="354">
          <cell r="AL354" t="str">
            <v>Option Year 13ESDG&amp;AContr/Govt</v>
          </cell>
          <cell r="AM354" t="e">
            <v>#DIV/0!</v>
          </cell>
        </row>
        <row r="355">
          <cell r="AL355" t="str">
            <v>Option Year 13ESDTBD1Contr/Govt</v>
          </cell>
          <cell r="AM355" t="e">
            <v>#DIV/0!</v>
          </cell>
        </row>
        <row r="356">
          <cell r="AL356" t="str">
            <v>Option Year 13ESDTBD2Contr/Govt</v>
          </cell>
          <cell r="AM356" t="e">
            <v>#DIV/0!</v>
          </cell>
        </row>
        <row r="357">
          <cell r="AL357" t="str">
            <v>Option Year 13ESDTBD3Contr/Govt</v>
          </cell>
          <cell r="AM357" t="e">
            <v>#DIV/0!</v>
          </cell>
        </row>
        <row r="362">
          <cell r="AL362" t="str">
            <v>Option Year 14ESDPRBContr/Govt</v>
          </cell>
          <cell r="AM362" t="e">
            <v>#DIV/0!</v>
          </cell>
        </row>
        <row r="363">
          <cell r="AL363" t="str">
            <v>Option Year 14ESDOverheadContr</v>
          </cell>
          <cell r="AM363" t="e">
            <v>#DIV/0!</v>
          </cell>
        </row>
        <row r="364">
          <cell r="AL364" t="str">
            <v>Option Year 14ESDOverheadGovt</v>
          </cell>
          <cell r="AM364" t="e">
            <v>#DIV/0!</v>
          </cell>
        </row>
        <row r="365">
          <cell r="AL365" t="str">
            <v>Option Year 14ESDMHContr/Govt</v>
          </cell>
          <cell r="AM365" t="e">
            <v>#DIV/0!</v>
          </cell>
        </row>
        <row r="366">
          <cell r="AL366" t="str">
            <v>Option Year 14ESDG&amp;AContr/Govt</v>
          </cell>
          <cell r="AM366" t="e">
            <v>#DIV/0!</v>
          </cell>
        </row>
        <row r="367">
          <cell r="AL367" t="str">
            <v>Option Year 14ESDTBD1Contr/Govt</v>
          </cell>
          <cell r="AM367" t="e">
            <v>#DIV/0!</v>
          </cell>
        </row>
        <row r="368">
          <cell r="AL368" t="str">
            <v>Option Year 14ESDTBD2Contr/Govt</v>
          </cell>
          <cell r="AM368" t="e">
            <v>#DIV/0!</v>
          </cell>
        </row>
        <row r="369">
          <cell r="AL369" t="str">
            <v>Option Year 14ESDTBD3Contr/Govt</v>
          </cell>
          <cell r="AM369" t="e">
            <v>#DIV/0!</v>
          </cell>
        </row>
        <row r="375">
          <cell r="AL375" t="str">
            <v>LOOKUP TABLE - DO NOT DELETE</v>
          </cell>
        </row>
        <row r="376">
          <cell r="AL376" t="str">
            <v>Base YearESDPRBContr/Govt</v>
          </cell>
          <cell r="AM376">
            <v>0.35099999999999998</v>
          </cell>
        </row>
        <row r="377">
          <cell r="AL377" t="str">
            <v>Base YearESDOverheadContr</v>
          </cell>
          <cell r="AM377">
            <v>0.17249999999999999</v>
          </cell>
        </row>
        <row r="378">
          <cell r="AL378" t="str">
            <v>Base YearESDOverheadGovt</v>
          </cell>
          <cell r="AM378">
            <v>3.1E-2</v>
          </cell>
        </row>
        <row r="379">
          <cell r="AL379" t="str">
            <v>Base YearESDMHContr/Govt</v>
          </cell>
          <cell r="AM379">
            <v>3.0300000000000001E-2</v>
          </cell>
        </row>
        <row r="380">
          <cell r="AL380" t="str">
            <v>Base YearESDG&amp;AContr/Govt</v>
          </cell>
          <cell r="AM380">
            <v>9.3100000000000002E-2</v>
          </cell>
        </row>
        <row r="381">
          <cell r="AL381" t="str">
            <v>Base YearESDTBD1Contr/Govt</v>
          </cell>
          <cell r="AM381">
            <v>0</v>
          </cell>
        </row>
        <row r="382">
          <cell r="AL382" t="str">
            <v>Base YearESDTBD2Contr/Govt</v>
          </cell>
          <cell r="AM382">
            <v>0</v>
          </cell>
        </row>
        <row r="383">
          <cell r="AL383" t="str">
            <v>Base YearESDTBD3Contr/Govt</v>
          </cell>
          <cell r="AM383">
            <v>0</v>
          </cell>
        </row>
        <row r="388">
          <cell r="AL388" t="str">
            <v>Option Year 1ESDPRBContr/Govt</v>
          </cell>
          <cell r="AM388">
            <v>0.35099999999999998</v>
          </cell>
        </row>
        <row r="389">
          <cell r="AL389" t="str">
            <v>Option Year 1ESDOverheadContr</v>
          </cell>
          <cell r="AM389">
            <v>0.17249999999999999</v>
          </cell>
        </row>
        <row r="390">
          <cell r="AL390" t="str">
            <v>Option Year 1ESDOverheadGovt</v>
          </cell>
          <cell r="AM390">
            <v>3.1E-2</v>
          </cell>
        </row>
        <row r="391">
          <cell r="AL391" t="str">
            <v>Option Year 1ESDMHContr/Govt</v>
          </cell>
          <cell r="AM391">
            <v>2.93E-2</v>
          </cell>
        </row>
        <row r="392">
          <cell r="AL392" t="str">
            <v>Option Year 1ESDG&amp;AContr/Govt</v>
          </cell>
          <cell r="AM392">
            <v>9.0499999999999997E-2</v>
          </cell>
        </row>
        <row r="393">
          <cell r="AL393" t="str">
            <v>Option Year 1ESDTBD1Contr/Govt</v>
          </cell>
          <cell r="AM393">
            <v>0</v>
          </cell>
        </row>
        <row r="394">
          <cell r="AL394" t="str">
            <v>Option Year 1ESDTBD2Contr/Govt</v>
          </cell>
          <cell r="AM394">
            <v>0</v>
          </cell>
        </row>
        <row r="395">
          <cell r="AL395" t="str">
            <v>Option Year 1ESDTBD3Contr/Govt</v>
          </cell>
          <cell r="AM395">
            <v>0</v>
          </cell>
        </row>
        <row r="400">
          <cell r="AL400" t="str">
            <v>Option Year 2ESDPRBContr/Govt</v>
          </cell>
          <cell r="AM400">
            <v>0.35099999999999998</v>
          </cell>
        </row>
        <row r="401">
          <cell r="AL401" t="str">
            <v>Option Year 2ESDOverheadContr</v>
          </cell>
          <cell r="AM401">
            <v>0.17249999999999999</v>
          </cell>
        </row>
        <row r="402">
          <cell r="AL402" t="str">
            <v>Option Year 2ESDOverheadGovt</v>
          </cell>
          <cell r="AM402">
            <v>3.1E-2</v>
          </cell>
        </row>
        <row r="403">
          <cell r="AL403" t="str">
            <v>Option Year 2ESDMHContr/Govt</v>
          </cell>
          <cell r="AM403">
            <v>2.8400000000000002E-2</v>
          </cell>
        </row>
        <row r="404">
          <cell r="AL404" t="str">
            <v>Option Year 2ESDG&amp;AContr/Govt</v>
          </cell>
          <cell r="AM404">
            <v>8.7999999999999995E-2</v>
          </cell>
        </row>
        <row r="405">
          <cell r="AL405" t="str">
            <v>Option Year 2ESDTBD1Contr/Govt</v>
          </cell>
          <cell r="AM405">
            <v>0</v>
          </cell>
        </row>
        <row r="406">
          <cell r="AL406" t="str">
            <v>Option Year 2ESDTBD2Contr/Govt</v>
          </cell>
          <cell r="AM406">
            <v>0</v>
          </cell>
        </row>
        <row r="407">
          <cell r="AL407" t="str">
            <v>Option Year 2ESDTBD3Contr/Govt</v>
          </cell>
          <cell r="AM407">
            <v>0</v>
          </cell>
        </row>
        <row r="412">
          <cell r="AL412" t="str">
            <v>Training and ProcessingESDPRBContr/Govt</v>
          </cell>
          <cell r="AM412">
            <v>0.35099999999999998</v>
          </cell>
        </row>
        <row r="413">
          <cell r="AL413" t="str">
            <v>Training and ProcessingESDOverheadContr</v>
          </cell>
          <cell r="AM413">
            <v>0.17249999999999999</v>
          </cell>
        </row>
        <row r="414">
          <cell r="AL414" t="str">
            <v>Training and ProcessingESDOverheadGovt</v>
          </cell>
          <cell r="AM414">
            <v>3.1E-2</v>
          </cell>
        </row>
        <row r="415">
          <cell r="AL415" t="str">
            <v>Training and ProcessingESDMHContr/Govt</v>
          </cell>
          <cell r="AM415">
            <v>2.9499999999999998E-2</v>
          </cell>
        </row>
        <row r="416">
          <cell r="AL416" t="str">
            <v>Training and ProcessingESDG&amp;AContr/Govt</v>
          </cell>
          <cell r="AM416">
            <v>9.0899999999999995E-2</v>
          </cell>
        </row>
        <row r="417">
          <cell r="AL417" t="str">
            <v>Training and ProcessingESDTBD1Contr/Govt</v>
          </cell>
          <cell r="AM417">
            <v>0</v>
          </cell>
        </row>
        <row r="418">
          <cell r="AL418" t="str">
            <v>Training and ProcessingESDTBD2Contr/Govt</v>
          </cell>
          <cell r="AM418">
            <v>0</v>
          </cell>
        </row>
        <row r="419">
          <cell r="AL419" t="str">
            <v>Training and ProcessingESDTBD3Contr/Govt</v>
          </cell>
          <cell r="AM419">
            <v>0</v>
          </cell>
        </row>
        <row r="424">
          <cell r="AL424" t="str">
            <v>0ESDPRBContr/Govt</v>
          </cell>
          <cell r="AM424" t="e">
            <v>#N/A</v>
          </cell>
        </row>
        <row r="425">
          <cell r="AL425" t="str">
            <v>0ESDOverheadContr</v>
          </cell>
          <cell r="AM425" t="e">
            <v>#N/A</v>
          </cell>
        </row>
        <row r="426">
          <cell r="AL426" t="str">
            <v>0ESDOverheadGovt</v>
          </cell>
          <cell r="AM426" t="e">
            <v>#N/A</v>
          </cell>
        </row>
        <row r="427">
          <cell r="AL427" t="str">
            <v>0ESDMHContr/Govt</v>
          </cell>
          <cell r="AM427" t="e">
            <v>#N/A</v>
          </cell>
        </row>
        <row r="428">
          <cell r="AL428" t="str">
            <v>0ESDG&amp;AContr/Govt</v>
          </cell>
          <cell r="AM428" t="e">
            <v>#N/A</v>
          </cell>
        </row>
        <row r="429">
          <cell r="AL429" t="str">
            <v>0ESDTBD1Contr/Govt</v>
          </cell>
          <cell r="AM429" t="e">
            <v>#N/A</v>
          </cell>
        </row>
        <row r="430">
          <cell r="AL430" t="str">
            <v>0ESDTBD2Contr/Govt</v>
          </cell>
          <cell r="AM430" t="e">
            <v>#N/A</v>
          </cell>
        </row>
        <row r="431">
          <cell r="AL431" t="str">
            <v>0ESDTBD3Contr/Govt</v>
          </cell>
          <cell r="AM431" t="e">
            <v>#N/A</v>
          </cell>
        </row>
        <row r="436">
          <cell r="AL436" t="str">
            <v>Option Year 5ESDPRBContr/Govt</v>
          </cell>
          <cell r="AM436" t="e">
            <v>#DIV/0!</v>
          </cell>
        </row>
        <row r="437">
          <cell r="AL437" t="str">
            <v>Option Year 5ESDOverheadContr</v>
          </cell>
          <cell r="AM437" t="e">
            <v>#DIV/0!</v>
          </cell>
        </row>
        <row r="438">
          <cell r="AL438" t="str">
            <v>Option Year 5ESDOverheadGovt</v>
          </cell>
          <cell r="AM438" t="e">
            <v>#DIV/0!</v>
          </cell>
        </row>
        <row r="439">
          <cell r="AL439" t="str">
            <v>Option Year 5ESDMHContr/Govt</v>
          </cell>
          <cell r="AM439" t="e">
            <v>#DIV/0!</v>
          </cell>
        </row>
        <row r="440">
          <cell r="AL440" t="str">
            <v>Option Year 5ESDG&amp;AContr/Govt</v>
          </cell>
          <cell r="AM440" t="e">
            <v>#DIV/0!</v>
          </cell>
        </row>
        <row r="441">
          <cell r="AL441" t="str">
            <v>Option Year 5ESDTBD1Contr/Govt</v>
          </cell>
          <cell r="AM441" t="e">
            <v>#DIV/0!</v>
          </cell>
        </row>
        <row r="442">
          <cell r="AL442" t="str">
            <v>Option Year 5ESDTBD2Contr/Govt</v>
          </cell>
          <cell r="AM442" t="e">
            <v>#DIV/0!</v>
          </cell>
        </row>
        <row r="443">
          <cell r="AL443" t="str">
            <v>Option Year 5ESDTBD3Contr/Govt</v>
          </cell>
          <cell r="AM443" t="e">
            <v>#DIV/0!</v>
          </cell>
        </row>
        <row r="448">
          <cell r="AL448" t="str">
            <v>Option Year 6ESDPRBContr/Govt</v>
          </cell>
          <cell r="AM448" t="e">
            <v>#DIV/0!</v>
          </cell>
        </row>
        <row r="449">
          <cell r="AL449" t="str">
            <v>Option Year 6ESDOverheadContr</v>
          </cell>
          <cell r="AM449" t="e">
            <v>#DIV/0!</v>
          </cell>
        </row>
        <row r="450">
          <cell r="AL450" t="str">
            <v>Option Year 6ESDOverheadGovt</v>
          </cell>
          <cell r="AM450" t="e">
            <v>#DIV/0!</v>
          </cell>
        </row>
        <row r="451">
          <cell r="AL451" t="str">
            <v>Option Year 6ESDMHContr/Govt</v>
          </cell>
          <cell r="AM451" t="e">
            <v>#DIV/0!</v>
          </cell>
        </row>
        <row r="452">
          <cell r="AL452" t="str">
            <v>Option Year 6ESDG&amp;AContr/Govt</v>
          </cell>
          <cell r="AM452" t="e">
            <v>#DIV/0!</v>
          </cell>
        </row>
        <row r="453">
          <cell r="AL453" t="str">
            <v>Option Year 6ESDTBD1Contr/Govt</v>
          </cell>
          <cell r="AM453" t="e">
            <v>#DIV/0!</v>
          </cell>
        </row>
        <row r="454">
          <cell r="AL454" t="str">
            <v>Option Year 6ESDTBD2Contr/Govt</v>
          </cell>
          <cell r="AM454" t="e">
            <v>#DIV/0!</v>
          </cell>
        </row>
        <row r="455">
          <cell r="AL455" t="str">
            <v>Option Year 6ESDTBD3Contr/Govt</v>
          </cell>
          <cell r="AM455" t="e">
            <v>#DIV/0!</v>
          </cell>
        </row>
        <row r="460">
          <cell r="AL460" t="str">
            <v>Option Year 7ESDPRBContr/Govt</v>
          </cell>
          <cell r="AM460" t="e">
            <v>#DIV/0!</v>
          </cell>
        </row>
        <row r="461">
          <cell r="AL461" t="str">
            <v>Option Year 7ESDOverheadContr</v>
          </cell>
          <cell r="AM461" t="e">
            <v>#DIV/0!</v>
          </cell>
        </row>
        <row r="462">
          <cell r="AL462" t="str">
            <v>Option Year 7ESDOverheadGovt</v>
          </cell>
          <cell r="AM462" t="e">
            <v>#DIV/0!</v>
          </cell>
        </row>
        <row r="463">
          <cell r="AL463" t="str">
            <v>Option Year 7ESDMHContr/Govt</v>
          </cell>
          <cell r="AM463" t="e">
            <v>#DIV/0!</v>
          </cell>
        </row>
        <row r="464">
          <cell r="AL464" t="str">
            <v>Option Year 7ESDG&amp;AContr/Govt</v>
          </cell>
          <cell r="AM464" t="e">
            <v>#DIV/0!</v>
          </cell>
        </row>
        <row r="465">
          <cell r="AL465" t="str">
            <v>Option Year 7ESDTBD1Contr/Govt</v>
          </cell>
          <cell r="AM465" t="e">
            <v>#DIV/0!</v>
          </cell>
        </row>
        <row r="466">
          <cell r="AL466" t="str">
            <v>Option Year 7ESDTBD2Contr/Govt</v>
          </cell>
          <cell r="AM466" t="e">
            <v>#DIV/0!</v>
          </cell>
        </row>
        <row r="467">
          <cell r="AL467" t="str">
            <v>Option Year 7ESDTBD3Contr/Govt</v>
          </cell>
          <cell r="AM467" t="e">
            <v>#DIV/0!</v>
          </cell>
        </row>
        <row r="472">
          <cell r="AL472" t="str">
            <v>Option Year 8ESDPRBContr/Govt</v>
          </cell>
          <cell r="AM472" t="e">
            <v>#DIV/0!</v>
          </cell>
        </row>
        <row r="473">
          <cell r="AL473" t="str">
            <v>Option Year 8ESDOverheadContr</v>
          </cell>
          <cell r="AM473" t="e">
            <v>#DIV/0!</v>
          </cell>
        </row>
        <row r="474">
          <cell r="AL474" t="str">
            <v>Option Year 8ESDOverheadGovt</v>
          </cell>
          <cell r="AM474" t="e">
            <v>#DIV/0!</v>
          </cell>
        </row>
        <row r="475">
          <cell r="AL475" t="str">
            <v>Option Year 8ESDMHContr/Govt</v>
          </cell>
          <cell r="AM475" t="e">
            <v>#DIV/0!</v>
          </cell>
        </row>
        <row r="476">
          <cell r="AL476" t="str">
            <v>Option Year 8ESDG&amp;AContr/Govt</v>
          </cell>
          <cell r="AM476" t="e">
            <v>#DIV/0!</v>
          </cell>
        </row>
        <row r="477">
          <cell r="AL477" t="str">
            <v>Option Year 8ESDTBD1Contr/Govt</v>
          </cell>
          <cell r="AM477" t="e">
            <v>#DIV/0!</v>
          </cell>
        </row>
        <row r="478">
          <cell r="AL478" t="str">
            <v>Option Year 8ESDTBD2Contr/Govt</v>
          </cell>
          <cell r="AM478" t="e">
            <v>#DIV/0!</v>
          </cell>
        </row>
        <row r="479">
          <cell r="AL479" t="str">
            <v>Option Year 8ESDTBD3Contr/Govt</v>
          </cell>
          <cell r="AM479" t="e">
            <v>#DIV/0!</v>
          </cell>
        </row>
        <row r="484">
          <cell r="AL484" t="str">
            <v>Option Year 9ESDPRBContr/Govt</v>
          </cell>
          <cell r="AM484" t="e">
            <v>#DIV/0!</v>
          </cell>
        </row>
        <row r="485">
          <cell r="AL485" t="str">
            <v>Option Year 9ESDOverheadContr</v>
          </cell>
          <cell r="AM485" t="e">
            <v>#DIV/0!</v>
          </cell>
        </row>
        <row r="486">
          <cell r="AL486" t="str">
            <v>Option Year 9ESDOverheadGovt</v>
          </cell>
          <cell r="AM486" t="e">
            <v>#DIV/0!</v>
          </cell>
        </row>
        <row r="487">
          <cell r="AL487" t="str">
            <v>Option Year 9ESDMHContr/Govt</v>
          </cell>
          <cell r="AM487" t="e">
            <v>#DIV/0!</v>
          </cell>
        </row>
        <row r="488">
          <cell r="AL488" t="str">
            <v>Option Year 9ESDG&amp;AContr/Govt</v>
          </cell>
          <cell r="AM488" t="e">
            <v>#DIV/0!</v>
          </cell>
        </row>
        <row r="489">
          <cell r="AL489" t="str">
            <v>Option Year 9ESDTBD1Contr/Govt</v>
          </cell>
          <cell r="AM489" t="e">
            <v>#DIV/0!</v>
          </cell>
        </row>
        <row r="490">
          <cell r="AL490" t="str">
            <v>Option Year 9ESDTBD2Contr/Govt</v>
          </cell>
          <cell r="AM490" t="e">
            <v>#DIV/0!</v>
          </cell>
        </row>
        <row r="491">
          <cell r="AL491" t="str">
            <v>Option Year 9ESDTBD3Contr/Govt</v>
          </cell>
          <cell r="AM491" t="e">
            <v>#DIV/0!</v>
          </cell>
        </row>
        <row r="496">
          <cell r="AL496" t="str">
            <v>Option Year 10ESDPRBContr/Govt</v>
          </cell>
          <cell r="AM496" t="e">
            <v>#DIV/0!</v>
          </cell>
        </row>
        <row r="497">
          <cell r="AL497" t="str">
            <v>Option Year 10ESDOverheadContr</v>
          </cell>
          <cell r="AM497" t="e">
            <v>#DIV/0!</v>
          </cell>
        </row>
        <row r="498">
          <cell r="AL498" t="str">
            <v>Option Year 10ESDOverheadGovt</v>
          </cell>
          <cell r="AM498" t="e">
            <v>#DIV/0!</v>
          </cell>
        </row>
        <row r="499">
          <cell r="AL499" t="str">
            <v>Option Year 10ESDMHContr/Govt</v>
          </cell>
          <cell r="AM499" t="e">
            <v>#DIV/0!</v>
          </cell>
        </row>
        <row r="500">
          <cell r="AL500" t="str">
            <v>Option Year 10ESDG&amp;AContr/Govt</v>
          </cell>
          <cell r="AM500" t="e">
            <v>#DIV/0!</v>
          </cell>
        </row>
        <row r="501">
          <cell r="AL501" t="str">
            <v>Option Year 10ESDTBD1Contr/Govt</v>
          </cell>
          <cell r="AM501" t="e">
            <v>#DIV/0!</v>
          </cell>
        </row>
        <row r="502">
          <cell r="AL502" t="str">
            <v>Option Year 10ESDTBD2Contr/Govt</v>
          </cell>
          <cell r="AM502" t="e">
            <v>#DIV/0!</v>
          </cell>
        </row>
        <row r="503">
          <cell r="AL503" t="str">
            <v>Option Year 10ESDTBD3Contr/Govt</v>
          </cell>
          <cell r="AM503" t="e">
            <v>#DIV/0!</v>
          </cell>
        </row>
        <row r="508">
          <cell r="AL508" t="str">
            <v>Option Year 11ESDPRBContr/Govt</v>
          </cell>
          <cell r="AM508" t="e">
            <v>#DIV/0!</v>
          </cell>
        </row>
        <row r="509">
          <cell r="AL509" t="str">
            <v>Option Year 11ESDOverheadContr</v>
          </cell>
          <cell r="AM509" t="e">
            <v>#DIV/0!</v>
          </cell>
        </row>
        <row r="510">
          <cell r="AL510" t="str">
            <v>Option Year 11ESDOverheadGovt</v>
          </cell>
          <cell r="AM510" t="e">
            <v>#DIV/0!</v>
          </cell>
        </row>
        <row r="511">
          <cell r="AL511" t="str">
            <v>Option Year 11ESDMHContr/Govt</v>
          </cell>
          <cell r="AM511" t="e">
            <v>#DIV/0!</v>
          </cell>
        </row>
        <row r="512">
          <cell r="AL512" t="str">
            <v>Option Year 11ESDG&amp;AContr/Govt</v>
          </cell>
          <cell r="AM512" t="e">
            <v>#DIV/0!</v>
          </cell>
        </row>
        <row r="513">
          <cell r="AL513" t="str">
            <v>Option Year 11ESDTBD1Contr/Govt</v>
          </cell>
          <cell r="AM513" t="e">
            <v>#DIV/0!</v>
          </cell>
        </row>
        <row r="514">
          <cell r="AL514" t="str">
            <v>Option Year 11ESDTBD2Contr/Govt</v>
          </cell>
          <cell r="AM514" t="e">
            <v>#DIV/0!</v>
          </cell>
        </row>
        <row r="515">
          <cell r="AL515" t="str">
            <v>Option Year 11ESDTBD3Contr/Govt</v>
          </cell>
          <cell r="AM515" t="e">
            <v>#DIV/0!</v>
          </cell>
        </row>
        <row r="520">
          <cell r="AL520" t="str">
            <v>Option Year 12ESDPRBContr/Govt</v>
          </cell>
          <cell r="AM520" t="e">
            <v>#DIV/0!</v>
          </cell>
        </row>
        <row r="521">
          <cell r="AL521" t="str">
            <v>Option Year 12ESDOverheadContr</v>
          </cell>
          <cell r="AM521" t="e">
            <v>#DIV/0!</v>
          </cell>
        </row>
        <row r="522">
          <cell r="AL522" t="str">
            <v>Option Year 12ESDOverheadGovt</v>
          </cell>
          <cell r="AM522" t="e">
            <v>#DIV/0!</v>
          </cell>
        </row>
        <row r="523">
          <cell r="AL523" t="str">
            <v>Option Year 12ESDMHContr/Govt</v>
          </cell>
          <cell r="AM523" t="e">
            <v>#DIV/0!</v>
          </cell>
        </row>
        <row r="524">
          <cell r="AL524" t="str">
            <v>Option Year 12ESDG&amp;AContr/Govt</v>
          </cell>
          <cell r="AM524" t="e">
            <v>#DIV/0!</v>
          </cell>
        </row>
        <row r="525">
          <cell r="AL525" t="str">
            <v>Option Year 12ESDTBD1Contr/Govt</v>
          </cell>
          <cell r="AM525" t="e">
            <v>#DIV/0!</v>
          </cell>
        </row>
        <row r="526">
          <cell r="AL526" t="str">
            <v>Option Year 12ESDTBD2Contr/Govt</v>
          </cell>
          <cell r="AM526" t="e">
            <v>#DIV/0!</v>
          </cell>
        </row>
        <row r="527">
          <cell r="AL527" t="str">
            <v>Option Year 12ESDTBD3Contr/Govt</v>
          </cell>
          <cell r="AM527" t="e">
            <v>#DIV/0!</v>
          </cell>
        </row>
        <row r="532">
          <cell r="AL532" t="str">
            <v>Option Year 13ESDPRBContr/Govt</v>
          </cell>
          <cell r="AM532" t="e">
            <v>#DIV/0!</v>
          </cell>
        </row>
        <row r="533">
          <cell r="AL533" t="str">
            <v>Option Year 13ESDOverheadContr</v>
          </cell>
          <cell r="AM533" t="e">
            <v>#DIV/0!</v>
          </cell>
        </row>
        <row r="534">
          <cell r="AL534" t="str">
            <v>Option Year 13ESDOverheadGovt</v>
          </cell>
          <cell r="AM534" t="e">
            <v>#DIV/0!</v>
          </cell>
        </row>
        <row r="535">
          <cell r="AL535" t="str">
            <v>Option Year 13ESDMHContr/Govt</v>
          </cell>
          <cell r="AM535" t="e">
            <v>#DIV/0!</v>
          </cell>
        </row>
        <row r="536">
          <cell r="AL536" t="str">
            <v>Option Year 13ESDG&amp;AContr/Govt</v>
          </cell>
          <cell r="AM536" t="e">
            <v>#DIV/0!</v>
          </cell>
        </row>
        <row r="537">
          <cell r="AL537" t="str">
            <v>Option Year 13ESDTBD1Contr/Govt</v>
          </cell>
          <cell r="AM537" t="e">
            <v>#DIV/0!</v>
          </cell>
        </row>
        <row r="538">
          <cell r="AL538" t="str">
            <v>Option Year 13ESDTBD2Contr/Govt</v>
          </cell>
          <cell r="AM538" t="e">
            <v>#DIV/0!</v>
          </cell>
        </row>
        <row r="539">
          <cell r="AL539" t="str">
            <v>Option Year 13ESDTBD3Contr/Govt</v>
          </cell>
          <cell r="AM539" t="e">
            <v>#DIV/0!</v>
          </cell>
        </row>
        <row r="544">
          <cell r="AL544" t="str">
            <v>Option Year 14ESDPRBContr/Govt</v>
          </cell>
          <cell r="AM544" t="e">
            <v>#DIV/0!</v>
          </cell>
        </row>
        <row r="545">
          <cell r="AL545" t="str">
            <v>Option Year 14ESDOverheadContr</v>
          </cell>
          <cell r="AM545" t="e">
            <v>#DIV/0!</v>
          </cell>
        </row>
        <row r="546">
          <cell r="AL546" t="str">
            <v>Option Year 14ESDOverheadGovt</v>
          </cell>
          <cell r="AM546" t="e">
            <v>#DIV/0!</v>
          </cell>
        </row>
        <row r="547">
          <cell r="AL547" t="str">
            <v>Option Year 14ESDMHContr/Govt</v>
          </cell>
          <cell r="AM547" t="e">
            <v>#DIV/0!</v>
          </cell>
        </row>
        <row r="548">
          <cell r="AL548" t="str">
            <v>Option Year 14ESDG&amp;AContr/Govt</v>
          </cell>
          <cell r="AM548" t="e">
            <v>#DIV/0!</v>
          </cell>
        </row>
        <row r="549">
          <cell r="AL549" t="str">
            <v>Option Year 14ESDTBD1Contr/Govt</v>
          </cell>
          <cell r="AM549" t="e">
            <v>#DIV/0!</v>
          </cell>
        </row>
        <row r="550">
          <cell r="AL550" t="str">
            <v>Option Year 14ESDTBD2Contr/Govt</v>
          </cell>
          <cell r="AM550" t="e">
            <v>#DIV/0!</v>
          </cell>
        </row>
        <row r="551">
          <cell r="AL551" t="str">
            <v>Option Year 14ESDTBD3Contr/Govt</v>
          </cell>
          <cell r="AM551" t="e">
            <v>#DIV/0!</v>
          </cell>
        </row>
      </sheetData>
      <sheetData sheetId="26"/>
      <sheetData sheetId="27"/>
      <sheetData sheetId="28"/>
      <sheetData sheetId="29"/>
      <sheetData sheetId="30"/>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InputSheet"/>
      <sheetName val="Summary-Base"/>
      <sheetName val="Summary-AwardTerm"/>
      <sheetName val="Yr1"/>
      <sheetName val="Yr2"/>
      <sheetName val="Yr3"/>
      <sheetName val="Yr4"/>
      <sheetName val="Yr5"/>
      <sheetName val="Yr6"/>
      <sheetName val="Yr6a"/>
      <sheetName val="Yr7"/>
      <sheetName val="Yr7a"/>
      <sheetName val="Yr8"/>
      <sheetName val="Yr8a"/>
      <sheetName val="Yr9"/>
      <sheetName val="Yr9a"/>
      <sheetName val="CPFF"/>
      <sheetName val="Summary"/>
      <sheetName val="Travel %'s"/>
      <sheetName val="Facility"/>
      <sheetName val="Indirects-MSTC"/>
      <sheetName val="Indirects-MADG"/>
      <sheetName val="FCCOM"/>
      <sheetName val="Ratebook"/>
      <sheetName val="Summary (Section B)"/>
      <sheetName val="Educ. &amp; Exp."/>
    </sheetNames>
    <sheetDataSet>
      <sheetData sheetId="0" refreshError="1">
        <row r="11">
          <cell r="A11" t="str">
            <v>Yr1</v>
          </cell>
          <cell r="B11" t="str">
            <v>Performance</v>
          </cell>
          <cell r="C11" t="str">
            <v>Base Period - Year I</v>
          </cell>
          <cell r="D11">
            <v>38200</v>
          </cell>
          <cell r="E11">
            <v>38564</v>
          </cell>
          <cell r="F11">
            <v>15</v>
          </cell>
          <cell r="H11">
            <v>1.03646025</v>
          </cell>
          <cell r="I11">
            <v>5</v>
          </cell>
          <cell r="J11">
            <v>7</v>
          </cell>
        </row>
        <row r="12">
          <cell r="A12" t="str">
            <v>Yr2</v>
          </cell>
          <cell r="C12" t="str">
            <v>Base Period - Year II</v>
          </cell>
          <cell r="D12">
            <v>38565</v>
          </cell>
          <cell r="E12">
            <v>38929</v>
          </cell>
          <cell r="F12">
            <v>27</v>
          </cell>
          <cell r="G12">
            <v>12</v>
          </cell>
          <cell r="H12">
            <v>1.0665175972499998</v>
          </cell>
          <cell r="I12">
            <v>5</v>
          </cell>
          <cell r="J12">
            <v>7</v>
          </cell>
        </row>
        <row r="13">
          <cell r="A13" t="str">
            <v>Yr3</v>
          </cell>
          <cell r="C13" t="str">
            <v>Base Period - Year III</v>
          </cell>
          <cell r="D13">
            <v>38930</v>
          </cell>
          <cell r="E13">
            <v>39294</v>
          </cell>
          <cell r="F13">
            <v>39</v>
          </cell>
          <cell r="G13">
            <v>12</v>
          </cell>
          <cell r="H13">
            <v>1.0974466075702498</v>
          </cell>
          <cell r="I13">
            <v>5</v>
          </cell>
          <cell r="J13">
            <v>7</v>
          </cell>
        </row>
        <row r="14">
          <cell r="A14" t="str">
            <v>Yr4</v>
          </cell>
          <cell r="C14" t="str">
            <v>Base Period - Year IV</v>
          </cell>
          <cell r="D14">
            <v>39295</v>
          </cell>
          <cell r="E14">
            <v>39660</v>
          </cell>
          <cell r="F14">
            <v>51</v>
          </cell>
          <cell r="G14">
            <v>12</v>
          </cell>
          <cell r="H14">
            <v>1.129272559189787</v>
          </cell>
          <cell r="I14">
            <v>5</v>
          </cell>
          <cell r="J14">
            <v>7</v>
          </cell>
        </row>
        <row r="15">
          <cell r="A15" t="str">
            <v>Yr5</v>
          </cell>
          <cell r="C15" t="str">
            <v>Base Period - Year V</v>
          </cell>
          <cell r="D15">
            <v>39661</v>
          </cell>
          <cell r="E15">
            <v>40025</v>
          </cell>
          <cell r="F15">
            <v>63</v>
          </cell>
          <cell r="G15">
            <v>12</v>
          </cell>
          <cell r="H15">
            <v>1.1620214634062906</v>
          </cell>
          <cell r="I15">
            <v>5</v>
          </cell>
          <cell r="J15">
            <v>7</v>
          </cell>
        </row>
        <row r="16">
          <cell r="A16" t="str">
            <v>Yr6</v>
          </cell>
          <cell r="C16" t="str">
            <v>Award Term - Period I</v>
          </cell>
          <cell r="D16">
            <v>40026</v>
          </cell>
          <cell r="E16">
            <v>40209.5</v>
          </cell>
          <cell r="F16">
            <v>72</v>
          </cell>
          <cell r="G16">
            <v>9</v>
          </cell>
          <cell r="H16">
            <v>1.187113512876717</v>
          </cell>
          <cell r="I16">
            <v>-7</v>
          </cell>
          <cell r="J16">
            <v>13</v>
          </cell>
        </row>
        <row r="17">
          <cell r="A17" t="str">
            <v>Yr6a</v>
          </cell>
          <cell r="C17" t="str">
            <v>Award Term - Period II</v>
          </cell>
          <cell r="D17">
            <v>40210.5</v>
          </cell>
          <cell r="E17">
            <v>40390</v>
          </cell>
          <cell r="F17">
            <v>78</v>
          </cell>
          <cell r="G17">
            <v>6</v>
          </cell>
          <cell r="H17">
            <v>1.2043266588134294</v>
          </cell>
          <cell r="I17">
            <v>-13</v>
          </cell>
          <cell r="J17">
            <v>19</v>
          </cell>
        </row>
        <row r="18">
          <cell r="A18" t="str">
            <v>Yr7</v>
          </cell>
          <cell r="C18" t="str">
            <v>Award Term - Period III</v>
          </cell>
          <cell r="D18">
            <v>40391</v>
          </cell>
          <cell r="E18">
            <v>40574.5</v>
          </cell>
          <cell r="F18">
            <v>84</v>
          </cell>
          <cell r="G18">
            <v>6</v>
          </cell>
          <cell r="H18">
            <v>1.2215398047501418</v>
          </cell>
          <cell r="I18">
            <v>-19</v>
          </cell>
          <cell r="J18">
            <v>25</v>
          </cell>
        </row>
        <row r="19">
          <cell r="A19" t="str">
            <v>Yr7a</v>
          </cell>
          <cell r="C19" t="str">
            <v>Award Term - Period IV</v>
          </cell>
          <cell r="D19">
            <v>40575.5</v>
          </cell>
          <cell r="E19">
            <v>40755</v>
          </cell>
          <cell r="F19">
            <v>90</v>
          </cell>
          <cell r="G19">
            <v>6</v>
          </cell>
          <cell r="H19">
            <v>1.2392521319190188</v>
          </cell>
          <cell r="I19">
            <v>-25</v>
          </cell>
          <cell r="J19">
            <v>31</v>
          </cell>
        </row>
        <row r="20">
          <cell r="A20" t="str">
            <v>Yr8</v>
          </cell>
          <cell r="C20" t="str">
            <v>Award Term - Period V</v>
          </cell>
          <cell r="D20">
            <v>40756</v>
          </cell>
          <cell r="E20">
            <v>40939</v>
          </cell>
          <cell r="F20">
            <v>96</v>
          </cell>
          <cell r="G20">
            <v>6</v>
          </cell>
          <cell r="H20">
            <v>1.2569644590878959</v>
          </cell>
          <cell r="I20">
            <v>-31</v>
          </cell>
          <cell r="J20">
            <v>37</v>
          </cell>
        </row>
        <row r="21">
          <cell r="A21" t="str">
            <v>Yr8a</v>
          </cell>
          <cell r="C21" t="str">
            <v>Award Term - Period VI</v>
          </cell>
          <cell r="D21">
            <v>40940</v>
          </cell>
          <cell r="E21">
            <v>41121</v>
          </cell>
          <cell r="F21">
            <v>102</v>
          </cell>
          <cell r="G21">
            <v>6</v>
          </cell>
          <cell r="H21">
            <v>1.2751904437446704</v>
          </cell>
          <cell r="I21">
            <v>-37</v>
          </cell>
          <cell r="J21">
            <v>43</v>
          </cell>
        </row>
        <row r="22">
          <cell r="A22" t="str">
            <v>Yr9</v>
          </cell>
          <cell r="C22" t="str">
            <v>Award Term - Period VII</v>
          </cell>
          <cell r="D22">
            <v>41122</v>
          </cell>
          <cell r="E22">
            <v>41305</v>
          </cell>
          <cell r="F22">
            <v>108</v>
          </cell>
          <cell r="G22">
            <v>6</v>
          </cell>
          <cell r="H22">
            <v>1.2934164284014447</v>
          </cell>
          <cell r="I22">
            <v>-43</v>
          </cell>
          <cell r="J22">
            <v>49</v>
          </cell>
        </row>
        <row r="23">
          <cell r="A23" t="str">
            <v>Yr9a</v>
          </cell>
          <cell r="C23" t="str">
            <v>Award Term - Period VIII</v>
          </cell>
          <cell r="D23">
            <v>41306</v>
          </cell>
          <cell r="E23">
            <v>41486</v>
          </cell>
          <cell r="F23">
            <v>114</v>
          </cell>
          <cell r="G23">
            <v>6</v>
          </cell>
          <cell r="H23">
            <v>1.3121709666132655</v>
          </cell>
          <cell r="I23">
            <v>-49</v>
          </cell>
          <cell r="J23">
            <v>55</v>
          </cell>
        </row>
        <row r="24">
          <cell r="A24" t="str">
            <v>Total</v>
          </cell>
          <cell r="C24" t="str">
            <v>All Years</v>
          </cell>
          <cell r="D24">
            <v>38200</v>
          </cell>
          <cell r="E24">
            <v>41486</v>
          </cell>
          <cell r="F24">
            <v>63</v>
          </cell>
          <cell r="G24">
            <v>0</v>
          </cell>
          <cell r="H24">
            <v>1.1620214634062906</v>
          </cell>
          <cell r="I24">
            <v>53</v>
          </cell>
          <cell r="J24">
            <v>55</v>
          </cell>
        </row>
        <row r="26">
          <cell r="B26" t="str">
            <v>Escalation</v>
          </cell>
          <cell r="C26" t="str">
            <v>Non SCA/WD</v>
          </cell>
          <cell r="D26">
            <v>2.9000000000000001E-2</v>
          </cell>
        </row>
        <row r="27">
          <cell r="C27" t="str">
            <v>SCA/WD</v>
          </cell>
          <cell r="D27">
            <v>0</v>
          </cell>
        </row>
        <row r="29">
          <cell r="B29" t="str">
            <v>Indirect</v>
          </cell>
          <cell r="C29" t="str">
            <v>Description</v>
          </cell>
          <cell r="D29">
            <v>2004</v>
          </cell>
          <cell r="E29">
            <v>2005</v>
          </cell>
          <cell r="F29">
            <v>2006</v>
          </cell>
          <cell r="G29">
            <v>2007</v>
          </cell>
          <cell r="H29">
            <v>2008</v>
          </cell>
          <cell r="I29">
            <v>2009</v>
          </cell>
          <cell r="J29">
            <v>2010</v>
          </cell>
        </row>
        <row r="30">
          <cell r="B30" t="str">
            <v>Rate Schd</v>
          </cell>
          <cell r="C30" t="str">
            <v>Cost Ctr</v>
          </cell>
          <cell r="D30" t="str">
            <v>MSTC IT</v>
          </cell>
        </row>
        <row r="31">
          <cell r="C31" t="str">
            <v>Payroll Burden</v>
          </cell>
          <cell r="D31">
            <v>0.32400000000000001</v>
          </cell>
          <cell r="E31">
            <v>0.32400000000000001</v>
          </cell>
          <cell r="F31">
            <v>0.32400000000000001</v>
          </cell>
          <cell r="G31">
            <v>0.32400000000000001</v>
          </cell>
          <cell r="H31">
            <v>0.32400000000000001</v>
          </cell>
          <cell r="I31">
            <v>0.32400000000000001</v>
          </cell>
          <cell r="J31">
            <v>0.32400000000000001</v>
          </cell>
        </row>
        <row r="32">
          <cell r="C32" t="str">
            <v>Overhead - Offsite</v>
          </cell>
          <cell r="D32">
            <v>0.21</v>
          </cell>
          <cell r="E32">
            <v>0.21</v>
          </cell>
          <cell r="F32">
            <v>0.21</v>
          </cell>
          <cell r="G32">
            <v>0.21</v>
          </cell>
          <cell r="H32">
            <v>0.21</v>
          </cell>
          <cell r="I32">
            <v>0.21</v>
          </cell>
          <cell r="J32">
            <v>0.21</v>
          </cell>
        </row>
        <row r="33">
          <cell r="C33" t="str">
            <v>Overhead - Onsite</v>
          </cell>
          <cell r="D33">
            <v>8.0000000000000002E-3</v>
          </cell>
          <cell r="E33">
            <v>8.0000000000000002E-3</v>
          </cell>
          <cell r="F33">
            <v>8.0000000000000002E-3</v>
          </cell>
          <cell r="G33">
            <v>8.0000000000000002E-3</v>
          </cell>
          <cell r="H33">
            <v>8.0000000000000002E-3</v>
          </cell>
          <cell r="I33">
            <v>8.0000000000000002E-3</v>
          </cell>
          <cell r="J33">
            <v>8.0000000000000002E-3</v>
          </cell>
        </row>
        <row r="34">
          <cell r="C34" t="str">
            <v>Material Handling</v>
          </cell>
          <cell r="D34">
            <v>0.02</v>
          </cell>
          <cell r="E34">
            <v>0.02</v>
          </cell>
          <cell r="F34">
            <v>0.02</v>
          </cell>
          <cell r="G34">
            <v>0.02</v>
          </cell>
          <cell r="H34">
            <v>0.02</v>
          </cell>
          <cell r="I34">
            <v>0.02</v>
          </cell>
          <cell r="J34">
            <v>0.02</v>
          </cell>
        </row>
        <row r="35">
          <cell r="C35" t="str">
            <v>G&amp;A</v>
          </cell>
          <cell r="D35">
            <v>0.15</v>
          </cell>
          <cell r="E35">
            <v>0.1444</v>
          </cell>
          <cell r="F35">
            <v>0.13930000000000001</v>
          </cell>
          <cell r="G35">
            <v>0.1346</v>
          </cell>
          <cell r="H35">
            <v>0.1303</v>
          </cell>
          <cell r="I35">
            <v>0.1303</v>
          </cell>
          <cell r="J35">
            <v>0.1303</v>
          </cell>
        </row>
        <row r="36">
          <cell r="C36" t="str">
            <v>FCCOM - Off OH</v>
          </cell>
          <cell r="D36">
            <v>2.0100000000000001E-3</v>
          </cell>
          <cell r="E36">
            <v>2.0100000000000001E-3</v>
          </cell>
          <cell r="F36">
            <v>2.0100000000000001E-3</v>
          </cell>
          <cell r="G36">
            <v>2.0100000000000001E-3</v>
          </cell>
          <cell r="H36">
            <v>2.0100000000000001E-3</v>
          </cell>
          <cell r="I36">
            <v>2.0100000000000001E-3</v>
          </cell>
          <cell r="J36">
            <v>2.0100000000000001E-3</v>
          </cell>
        </row>
        <row r="37">
          <cell r="C37" t="str">
            <v>FCCOM - On OH</v>
          </cell>
          <cell r="D37">
            <v>1.0000000000000001E-5</v>
          </cell>
          <cell r="E37">
            <v>1.0000000000000001E-5</v>
          </cell>
          <cell r="F37">
            <v>1.0000000000000001E-5</v>
          </cell>
          <cell r="G37">
            <v>1.0000000000000001E-5</v>
          </cell>
          <cell r="H37">
            <v>1.0000000000000001E-5</v>
          </cell>
          <cell r="I37">
            <v>1.0000000000000001E-5</v>
          </cell>
          <cell r="J37">
            <v>1.0000000000000001E-5</v>
          </cell>
        </row>
        <row r="38">
          <cell r="C38" t="str">
            <v>FCCOM - G&amp;A</v>
          </cell>
          <cell r="D38">
            <v>4.4000000000000002E-4</v>
          </cell>
          <cell r="E38">
            <v>4.4000000000000002E-4</v>
          </cell>
          <cell r="F38">
            <v>4.4000000000000002E-4</v>
          </cell>
          <cell r="G38">
            <v>4.4000000000000002E-4</v>
          </cell>
          <cell r="H38">
            <v>4.4000000000000002E-4</v>
          </cell>
          <cell r="I38">
            <v>4.4000000000000002E-4</v>
          </cell>
          <cell r="J38">
            <v>4.4000000000000002E-4</v>
          </cell>
        </row>
        <row r="40">
          <cell r="B40" t="str">
            <v>Indirect</v>
          </cell>
          <cell r="C40" t="str">
            <v>Description</v>
          </cell>
          <cell r="D40">
            <v>2004</v>
          </cell>
          <cell r="E40">
            <v>2005</v>
          </cell>
          <cell r="F40">
            <v>2006</v>
          </cell>
          <cell r="G40">
            <v>2007</v>
          </cell>
          <cell r="H40">
            <v>2008</v>
          </cell>
          <cell r="I40">
            <v>2009</v>
          </cell>
          <cell r="J40">
            <v>2010</v>
          </cell>
        </row>
        <row r="41">
          <cell r="B41" t="str">
            <v>Rate Schd</v>
          </cell>
          <cell r="C41" t="str">
            <v>Cost Ctr</v>
          </cell>
          <cell r="D41" t="str">
            <v>MADG</v>
          </cell>
        </row>
        <row r="42">
          <cell r="C42" t="str">
            <v>Payroll Burden</v>
          </cell>
          <cell r="D42">
            <v>0.32400000000000001</v>
          </cell>
          <cell r="E42">
            <v>0.32400000000000001</v>
          </cell>
          <cell r="F42">
            <v>0.32400000000000001</v>
          </cell>
          <cell r="G42">
            <v>0.32400000000000001</v>
          </cell>
          <cell r="H42">
            <v>0.32400000000000001</v>
          </cell>
          <cell r="I42">
            <v>0.32400000000000001</v>
          </cell>
          <cell r="J42">
            <v>0.32400000000000001</v>
          </cell>
        </row>
        <row r="43">
          <cell r="C43" t="str">
            <v>Overhead - Offsite</v>
          </cell>
          <cell r="D43">
            <v>0.17800424043319313</v>
          </cell>
          <cell r="E43">
            <v>0.17189167929569629</v>
          </cell>
          <cell r="F43">
            <v>0.173069861437636</v>
          </cell>
          <cell r="G43">
            <v>0.17414201313538186</v>
          </cell>
          <cell r="H43">
            <v>0.17511570551412675</v>
          </cell>
          <cell r="I43">
            <v>0.17511570551412675</v>
          </cell>
          <cell r="J43">
            <v>0.17511570551412675</v>
          </cell>
        </row>
        <row r="44">
          <cell r="C44" t="str">
            <v>Overhead - Onsite</v>
          </cell>
          <cell r="D44">
            <v>5.8162691790475944E-2</v>
          </cell>
          <cell r="E44">
            <v>4.6474316453454526E-2</v>
          </cell>
          <cell r="F44">
            <v>4.8278856054527759E-2</v>
          </cell>
          <cell r="G44">
            <v>5.0073005827539173E-2</v>
          </cell>
          <cell r="H44">
            <v>5.1841796143611341E-2</v>
          </cell>
          <cell r="I44">
            <v>5.1841796143611341E-2</v>
          </cell>
          <cell r="J44">
            <v>5.1841796143611341E-2</v>
          </cell>
        </row>
        <row r="45">
          <cell r="C45" t="str">
            <v>Material Handling</v>
          </cell>
          <cell r="D45">
            <v>2.1999999999999999E-2</v>
          </cell>
          <cell r="E45">
            <v>2.1999999999999999E-2</v>
          </cell>
          <cell r="F45">
            <v>2.1999999999999999E-2</v>
          </cell>
          <cell r="G45">
            <v>2.1999999999999999E-2</v>
          </cell>
          <cell r="H45">
            <v>2.1999999999999999E-2</v>
          </cell>
          <cell r="I45">
            <v>2.1999999999999999E-2</v>
          </cell>
          <cell r="J45">
            <v>2.1999999999999999E-2</v>
          </cell>
        </row>
        <row r="46">
          <cell r="C46" t="str">
            <v>G&amp;A</v>
          </cell>
          <cell r="D46">
            <v>0.21269279756057963</v>
          </cell>
          <cell r="E46">
            <v>0.20639698065493886</v>
          </cell>
          <cell r="F46">
            <v>0.20300149116721808</v>
          </cell>
          <cell r="G46">
            <v>0.19985916185040181</v>
          </cell>
          <cell r="H46">
            <v>0.19698125984268749</v>
          </cell>
          <cell r="I46">
            <v>0.19698125984268749</v>
          </cell>
          <cell r="J46">
            <v>0.19698125984268749</v>
          </cell>
        </row>
        <row r="47">
          <cell r="C47" t="str">
            <v>FCCOM - Off OH</v>
          </cell>
          <cell r="D47">
            <v>1.15E-3</v>
          </cell>
          <cell r="E47">
            <v>1.15E-3</v>
          </cell>
          <cell r="F47">
            <v>1.15E-3</v>
          </cell>
          <cell r="G47">
            <v>1.15E-3</v>
          </cell>
          <cell r="H47">
            <v>1.15E-3</v>
          </cell>
          <cell r="I47">
            <v>1.15E-3</v>
          </cell>
          <cell r="J47">
            <v>1.15E-3</v>
          </cell>
        </row>
        <row r="48">
          <cell r="C48" t="str">
            <v>FCCOM - On OH</v>
          </cell>
          <cell r="D48">
            <v>0</v>
          </cell>
          <cell r="E48">
            <v>0</v>
          </cell>
          <cell r="F48">
            <v>0</v>
          </cell>
          <cell r="G48">
            <v>0</v>
          </cell>
          <cell r="H48">
            <v>0</v>
          </cell>
          <cell r="I48">
            <v>0</v>
          </cell>
          <cell r="J48">
            <v>0</v>
          </cell>
        </row>
        <row r="49">
          <cell r="C49" t="str">
            <v>FCCOM - G&amp;A</v>
          </cell>
          <cell r="D49">
            <v>4.2999999999999999E-4</v>
          </cell>
          <cell r="E49">
            <v>4.2999999999999999E-4</v>
          </cell>
          <cell r="F49">
            <v>4.2999999999999999E-4</v>
          </cell>
          <cell r="G49">
            <v>4.2999999999999999E-4</v>
          </cell>
          <cell r="H49">
            <v>4.2999999999999999E-4</v>
          </cell>
          <cell r="I49">
            <v>4.2999999999999999E-4</v>
          </cell>
          <cell r="J49">
            <v>4.2999999999999999E-4</v>
          </cell>
        </row>
        <row r="51">
          <cell r="B51" t="str">
            <v>Fixed Fee</v>
          </cell>
          <cell r="C51" t="str">
            <v>Standard</v>
          </cell>
          <cell r="D51">
            <v>0.106</v>
          </cell>
          <cell r="E51" t="str">
            <v>A</v>
          </cell>
          <cell r="F51">
            <v>75582969.077862352</v>
          </cell>
          <cell r="G51" t="str">
            <v>Total CPFF</v>
          </cell>
          <cell r="I51">
            <v>1316250</v>
          </cell>
        </row>
        <row r="52">
          <cell r="C52" t="str">
            <v>Matl / ODC</v>
          </cell>
          <cell r="D52">
            <v>0</v>
          </cell>
          <cell r="E52" t="str">
            <v>B</v>
          </cell>
          <cell r="F52">
            <v>4.9987914612172633E-2</v>
          </cell>
          <cell r="G52" t="str">
            <v>Effective Fee</v>
          </cell>
        </row>
        <row r="53">
          <cell r="C53" t="str">
            <v>Fee On Subs</v>
          </cell>
          <cell r="D53">
            <v>0.05</v>
          </cell>
          <cell r="E53" t="str">
            <v>C</v>
          </cell>
        </row>
        <row r="55">
          <cell r="B55" t="str">
            <v>Subcontracts</v>
          </cell>
          <cell r="C55" t="str">
            <v>Name</v>
          </cell>
          <cell r="D55" t="str">
            <v>Size</v>
          </cell>
          <cell r="E55" t="str">
            <v>Fee/Profit %</v>
          </cell>
          <cell r="F55" t="str">
            <v>Esc %</v>
          </cell>
          <cell r="G55" t="str">
            <v>$ %</v>
          </cell>
          <cell r="H55" t="str">
            <v>Total $</v>
          </cell>
          <cell r="I55" t="str">
            <v>Hours</v>
          </cell>
          <cell r="J55" t="str">
            <v>% LOE</v>
          </cell>
        </row>
        <row r="56">
          <cell r="A56" t="str">
            <v>CUBIC</v>
          </cell>
          <cell r="C56" t="str">
            <v>CUBIC</v>
          </cell>
          <cell r="D56" t="str">
            <v>Large</v>
          </cell>
          <cell r="E56">
            <v>0.05</v>
          </cell>
          <cell r="F56">
            <v>3.5000000000000003E-2</v>
          </cell>
          <cell r="G56">
            <v>0.10327385964368314</v>
          </cell>
          <cell r="H56">
            <v>7805744.9399999995</v>
          </cell>
          <cell r="I56">
            <v>133020</v>
          </cell>
          <cell r="J56">
            <v>0.10105982905982906</v>
          </cell>
        </row>
        <row r="57">
          <cell r="A57" t="str">
            <v>Cynosure</v>
          </cell>
          <cell r="C57" t="str">
            <v>Cynosure</v>
          </cell>
          <cell r="D57" t="str">
            <v>SB</v>
          </cell>
          <cell r="E57">
            <v>0.05</v>
          </cell>
          <cell r="F57">
            <v>3.5000000000000003E-2</v>
          </cell>
          <cell r="G57">
            <v>4.0983774358068777E-2</v>
          </cell>
          <cell r="H57">
            <v>3097675.35</v>
          </cell>
          <cell r="I57">
            <v>72000</v>
          </cell>
          <cell r="J57">
            <v>5.4700854700854701E-2</v>
          </cell>
        </row>
        <row r="58">
          <cell r="A58" t="str">
            <v>G2</v>
          </cell>
          <cell r="C58" t="str">
            <v>G2</v>
          </cell>
          <cell r="D58" t="str">
            <v>WOSB</v>
          </cell>
          <cell r="E58">
            <v>0.05</v>
          </cell>
          <cell r="F58">
            <v>3.5000000000000003E-2</v>
          </cell>
          <cell r="G58">
            <v>9.5083038383906443E-2</v>
          </cell>
          <cell r="H58">
            <v>7186658.3499999996</v>
          </cell>
          <cell r="I58">
            <v>199800</v>
          </cell>
          <cell r="J58">
            <v>0.15179487179487181</v>
          </cell>
        </row>
        <row r="59">
          <cell r="A59" t="str">
            <v>SDS</v>
          </cell>
          <cell r="C59" t="str">
            <v>SDS</v>
          </cell>
          <cell r="D59" t="str">
            <v>VOSB</v>
          </cell>
          <cell r="E59">
            <v>0.05</v>
          </cell>
          <cell r="F59">
            <v>3.5000000000000003E-2</v>
          </cell>
          <cell r="G59">
            <v>0.11866884646672407</v>
          </cell>
          <cell r="H59">
            <v>8969343.7530000005</v>
          </cell>
          <cell r="I59">
            <v>167805</v>
          </cell>
          <cell r="J59">
            <v>0.1274871794871795</v>
          </cell>
        </row>
        <row r="60">
          <cell r="A60" t="str">
            <v>Moore Group</v>
          </cell>
          <cell r="C60" t="str">
            <v>Moore Group</v>
          </cell>
          <cell r="D60" t="str">
            <v>WOSB</v>
          </cell>
          <cell r="E60">
            <v>0.05</v>
          </cell>
          <cell r="F60">
            <v>3.5000000000000003E-2</v>
          </cell>
          <cell r="G60">
            <v>2.3952762402532527E-2</v>
          </cell>
          <cell r="H60">
            <v>1810420.9</v>
          </cell>
          <cell r="I60">
            <v>28800</v>
          </cell>
          <cell r="J60">
            <v>2.188034188034188E-2</v>
          </cell>
        </row>
        <row r="61">
          <cell r="A61" t="str">
            <v>Koam</v>
          </cell>
          <cell r="C61" t="str">
            <v>Koam</v>
          </cell>
          <cell r="D61" t="str">
            <v>SDB</v>
          </cell>
          <cell r="E61">
            <v>0.05</v>
          </cell>
          <cell r="F61">
            <v>3.5000000000000003E-2</v>
          </cell>
          <cell r="G61">
            <v>8.7960422580795866E-2</v>
          </cell>
          <cell r="H61">
            <v>6648309.8999999994</v>
          </cell>
          <cell r="I61">
            <v>180000</v>
          </cell>
          <cell r="J61">
            <v>0.13675213675213677</v>
          </cell>
        </row>
        <row r="62">
          <cell r="A62" t="str">
            <v>ETS</v>
          </cell>
          <cell r="C62" t="str">
            <v>ETS</v>
          </cell>
          <cell r="D62" t="str">
            <v>SDVOSB</v>
          </cell>
          <cell r="E62">
            <v>0.05</v>
          </cell>
          <cell r="F62">
            <v>3.5000000000000003E-2</v>
          </cell>
          <cell r="G62">
            <v>2.7910616316578062E-2</v>
          </cell>
          <cell r="H62">
            <v>2109567.25</v>
          </cell>
          <cell r="I62">
            <v>45900</v>
          </cell>
          <cell r="J62">
            <v>3.487179487179487E-2</v>
          </cell>
        </row>
        <row r="63">
          <cell r="A63" t="str">
            <v>ManPower</v>
          </cell>
          <cell r="C63" t="str">
            <v>ManPower</v>
          </cell>
          <cell r="D63" t="str">
            <v>Large</v>
          </cell>
          <cell r="E63">
            <v>0.05</v>
          </cell>
          <cell r="F63">
            <v>3.5000000000000003E-2</v>
          </cell>
          <cell r="G63">
            <v>5.6793480758581032E-2</v>
          </cell>
          <cell r="H63">
            <v>4292619.9000000004</v>
          </cell>
          <cell r="I63">
            <v>90000</v>
          </cell>
          <cell r="J63">
            <v>6.8376068376068383E-2</v>
          </cell>
        </row>
        <row r="64">
          <cell r="A64" t="str">
            <v>Consultants</v>
          </cell>
          <cell r="C64" t="str">
            <v>Consultants</v>
          </cell>
          <cell r="D64" t="str">
            <v>TBD</v>
          </cell>
          <cell r="E64">
            <v>0</v>
          </cell>
          <cell r="F64">
            <v>3.5000000000000003E-2</v>
          </cell>
          <cell r="G64">
            <v>0</v>
          </cell>
          <cell r="H64">
            <v>0</v>
          </cell>
          <cell r="I64">
            <v>0</v>
          </cell>
          <cell r="J64">
            <v>0</v>
          </cell>
        </row>
        <row r="65">
          <cell r="A65" t="str">
            <v>MT (IWA)</v>
          </cell>
          <cell r="C65" t="str">
            <v>MT (IWA)</v>
          </cell>
          <cell r="D65" t="str">
            <v>Large</v>
          </cell>
          <cell r="E65">
            <v>0</v>
          </cell>
          <cell r="F65">
            <v>2.9000000000000001E-2</v>
          </cell>
          <cell r="G65">
            <v>0</v>
          </cell>
          <cell r="H65">
            <v>0</v>
          </cell>
        </row>
        <row r="66">
          <cell r="G66">
            <v>0.39455946050860574</v>
          </cell>
          <cell r="H66">
            <v>29821975.502999999</v>
          </cell>
          <cell r="J66">
            <v>0.5274871794871796</v>
          </cell>
        </row>
        <row r="67">
          <cell r="B67" t="str">
            <v>Cat #</v>
          </cell>
          <cell r="C67" t="str">
            <v>RFP Category</v>
          </cell>
          <cell r="E67" t="str">
            <v>Hrs/Year</v>
          </cell>
          <cell r="H67">
            <v>41920340.342999995</v>
          </cell>
          <cell r="J67">
            <v>0.69692307692307698</v>
          </cell>
        </row>
        <row r="68">
          <cell r="B68">
            <v>1</v>
          </cell>
          <cell r="C68" t="str">
            <v>Program Manager</v>
          </cell>
          <cell r="E68">
            <v>2000</v>
          </cell>
          <cell r="H68" t="str">
            <v>ManTech</v>
          </cell>
          <cell r="I68">
            <v>117000</v>
          </cell>
        </row>
        <row r="69">
          <cell r="B69">
            <v>2</v>
          </cell>
          <cell r="C69" t="str">
            <v>Education Specialist</v>
          </cell>
          <cell r="E69">
            <v>3000</v>
          </cell>
          <cell r="H69" t="str">
            <v>IWA</v>
          </cell>
          <cell r="I69">
            <v>281925</v>
          </cell>
        </row>
        <row r="70">
          <cell r="B70">
            <v>3</v>
          </cell>
          <cell r="C70" t="str">
            <v>Instructional Systems Designer</v>
          </cell>
          <cell r="E70">
            <v>6000</v>
          </cell>
        </row>
        <row r="71">
          <cell r="B71">
            <v>4</v>
          </cell>
          <cell r="C71" t="str">
            <v>Master Training Specialist, Operator</v>
          </cell>
          <cell r="E71">
            <v>2000</v>
          </cell>
          <cell r="I71">
            <v>1316250</v>
          </cell>
        </row>
        <row r="72">
          <cell r="B72">
            <v>5</v>
          </cell>
          <cell r="C72" t="str">
            <v>Master Training Specialist, Maintenance</v>
          </cell>
          <cell r="E72">
            <v>2000</v>
          </cell>
        </row>
        <row r="73">
          <cell r="B73">
            <v>6</v>
          </cell>
          <cell r="C73" t="str">
            <v>Operator Training Specialist</v>
          </cell>
          <cell r="E73">
            <v>6000</v>
          </cell>
        </row>
        <row r="74">
          <cell r="B74">
            <v>7</v>
          </cell>
          <cell r="C74" t="str">
            <v>Maintenance Training Specialist</v>
          </cell>
          <cell r="E74">
            <v>6000</v>
          </cell>
        </row>
        <row r="75">
          <cell r="B75">
            <v>8</v>
          </cell>
          <cell r="C75" t="str">
            <v>Interactive Courseware Specialist</v>
          </cell>
          <cell r="E75">
            <v>6000</v>
          </cell>
        </row>
        <row r="76">
          <cell r="B76">
            <v>9</v>
          </cell>
          <cell r="C76" t="str">
            <v>Web Application Developer</v>
          </cell>
          <cell r="E76">
            <v>6000</v>
          </cell>
        </row>
        <row r="77">
          <cell r="B77">
            <v>10</v>
          </cell>
          <cell r="C77" t="str">
            <v>Database Analyst/Administrator</v>
          </cell>
          <cell r="E77">
            <v>6000</v>
          </cell>
        </row>
        <row r="78">
          <cell r="B78">
            <v>11</v>
          </cell>
          <cell r="C78" t="str">
            <v>Simulator Instructor</v>
          </cell>
          <cell r="E78">
            <v>8750</v>
          </cell>
        </row>
        <row r="79">
          <cell r="B79">
            <v>12</v>
          </cell>
          <cell r="C79" t="str">
            <v>Sr Logistics Analyst</v>
          </cell>
          <cell r="E79">
            <v>12000</v>
          </cell>
        </row>
        <row r="80">
          <cell r="B80">
            <v>13</v>
          </cell>
          <cell r="C80" t="str">
            <v>Logistics Analyst</v>
          </cell>
          <cell r="E80">
            <v>25000</v>
          </cell>
        </row>
        <row r="81">
          <cell r="B81">
            <v>14</v>
          </cell>
          <cell r="C81" t="str">
            <v>Junior Logistics Analyst</v>
          </cell>
          <cell r="E81">
            <v>14000</v>
          </cell>
        </row>
        <row r="82">
          <cell r="B82">
            <v>15</v>
          </cell>
          <cell r="C82" t="str">
            <v>Sr Systems Analyst</v>
          </cell>
          <cell r="E82">
            <v>1700</v>
          </cell>
        </row>
        <row r="83">
          <cell r="B83">
            <v>16</v>
          </cell>
          <cell r="C83" t="str">
            <v>Systems Analyst</v>
          </cell>
          <cell r="E83">
            <v>4500</v>
          </cell>
        </row>
        <row r="84">
          <cell r="B84">
            <v>17</v>
          </cell>
          <cell r="C84" t="str">
            <v>Sr Editor</v>
          </cell>
          <cell r="E84">
            <v>3000</v>
          </cell>
        </row>
        <row r="85">
          <cell r="B85">
            <v>18</v>
          </cell>
          <cell r="C85" t="str">
            <v>Editor</v>
          </cell>
          <cell r="E85">
            <v>3000</v>
          </cell>
        </row>
        <row r="86">
          <cell r="B86">
            <v>19</v>
          </cell>
          <cell r="C86" t="str">
            <v>Graphic Specialist</v>
          </cell>
          <cell r="E86">
            <v>20000</v>
          </cell>
        </row>
        <row r="87">
          <cell r="B87">
            <v>20</v>
          </cell>
          <cell r="C87" t="str">
            <v>Technical Writer/Illustrator</v>
          </cell>
          <cell r="E87">
            <v>2000</v>
          </cell>
        </row>
        <row r="88">
          <cell r="B88">
            <v>21</v>
          </cell>
          <cell r="C88" t="str">
            <v>Document Management Specialist</v>
          </cell>
          <cell r="E88">
            <v>6000</v>
          </cell>
        </row>
        <row r="89">
          <cell r="B89">
            <v>22</v>
          </cell>
          <cell r="C89" t="str">
            <v>Administrative Assistant</v>
          </cell>
          <cell r="E89">
            <v>650</v>
          </cell>
        </row>
        <row r="90">
          <cell r="B90">
            <v>23</v>
          </cell>
          <cell r="C90" t="str">
            <v>Clerk Typist</v>
          </cell>
          <cell r="E90">
            <v>650</v>
          </cell>
        </row>
        <row r="91">
          <cell r="B91">
            <v>24</v>
          </cell>
        </row>
        <row r="92">
          <cell r="B92">
            <v>25</v>
          </cell>
        </row>
        <row r="93">
          <cell r="B93">
            <v>26</v>
          </cell>
          <cell r="C93" t="str">
            <v>Category - 26</v>
          </cell>
        </row>
        <row r="94">
          <cell r="B94">
            <v>27</v>
          </cell>
          <cell r="C94" t="str">
            <v>Category - 27</v>
          </cell>
        </row>
        <row r="95">
          <cell r="B95">
            <v>28</v>
          </cell>
          <cell r="C95" t="str">
            <v>Category - 28</v>
          </cell>
        </row>
        <row r="96">
          <cell r="B96">
            <v>29</v>
          </cell>
          <cell r="C96" t="str">
            <v>Category - 29</v>
          </cell>
        </row>
        <row r="97">
          <cell r="B97">
            <v>30</v>
          </cell>
          <cell r="C97" t="str">
            <v>Category - 30</v>
          </cell>
        </row>
        <row r="98">
          <cell r="B98">
            <v>31</v>
          </cell>
          <cell r="C98" t="str">
            <v>Category - 31</v>
          </cell>
        </row>
        <row r="99">
          <cell r="B99">
            <v>32</v>
          </cell>
          <cell r="C99" t="str">
            <v>Category - 32</v>
          </cell>
        </row>
        <row r="100">
          <cell r="B100">
            <v>33</v>
          </cell>
          <cell r="C100" t="str">
            <v>Category - 33</v>
          </cell>
        </row>
        <row r="101">
          <cell r="B101">
            <v>34</v>
          </cell>
          <cell r="C101" t="str">
            <v>Category - 34</v>
          </cell>
        </row>
        <row r="102">
          <cell r="B102">
            <v>35</v>
          </cell>
          <cell r="C102" t="str">
            <v>Category - 35</v>
          </cell>
        </row>
        <row r="104">
          <cell r="B104" t="str">
            <v>Key</v>
          </cell>
          <cell r="C104" t="str">
            <v>Name</v>
          </cell>
          <cell r="D104" t="str">
            <v>Rate</v>
          </cell>
          <cell r="E104" t="str">
            <v>Category</v>
          </cell>
        </row>
        <row r="105">
          <cell r="B105" t="str">
            <v>Personnel</v>
          </cell>
        </row>
        <row r="106">
          <cell r="B106">
            <v>1</v>
          </cell>
          <cell r="C106" t="str">
            <v>Renfro, R</v>
          </cell>
          <cell r="D106">
            <v>54.33</v>
          </cell>
          <cell r="E106" t="str">
            <v>D6-5</v>
          </cell>
          <cell r="F106" t="str">
            <v>MADG</v>
          </cell>
        </row>
        <row r="107">
          <cell r="B107">
            <v>2</v>
          </cell>
          <cell r="C107" t="str">
            <v>Lausch</v>
          </cell>
          <cell r="F107" t="str">
            <v>New Hire</v>
          </cell>
        </row>
        <row r="108">
          <cell r="B108">
            <v>3</v>
          </cell>
          <cell r="C108" t="str">
            <v>Severe, J</v>
          </cell>
          <cell r="D108">
            <v>19.010000000000002</v>
          </cell>
          <cell r="E108" t="str">
            <v>T2-5</v>
          </cell>
          <cell r="F108" t="str">
            <v>MADG</v>
          </cell>
        </row>
        <row r="109">
          <cell r="B109">
            <v>4</v>
          </cell>
          <cell r="C109" t="str">
            <v>Glithero, S</v>
          </cell>
          <cell r="D109">
            <v>26.53</v>
          </cell>
          <cell r="E109" t="str">
            <v>A4-1</v>
          </cell>
          <cell r="F109" t="str">
            <v>MADG</v>
          </cell>
        </row>
        <row r="110">
          <cell r="B110">
            <v>5</v>
          </cell>
          <cell r="C110" t="str">
            <v>Tibbetts, W</v>
          </cell>
          <cell r="D110">
            <v>24.89</v>
          </cell>
          <cell r="E110" t="str">
            <v>A3-2</v>
          </cell>
          <cell r="F110" t="str">
            <v>MADG</v>
          </cell>
        </row>
        <row r="111">
          <cell r="B111">
            <v>6</v>
          </cell>
          <cell r="C111" t="str">
            <v>Bryan, S</v>
          </cell>
          <cell r="D111">
            <v>22.11</v>
          </cell>
          <cell r="E111" t="str">
            <v>D1-1</v>
          </cell>
          <cell r="F111" t="str">
            <v>MADG</v>
          </cell>
        </row>
        <row r="112">
          <cell r="B112">
            <v>7</v>
          </cell>
          <cell r="C112" t="str">
            <v>Koenig, J R</v>
          </cell>
          <cell r="D112">
            <v>29.26</v>
          </cell>
          <cell r="E112" t="str">
            <v>A3-4</v>
          </cell>
          <cell r="F112" t="str">
            <v>MSTC</v>
          </cell>
        </row>
        <row r="113">
          <cell r="B113">
            <v>8</v>
          </cell>
          <cell r="C113" t="str">
            <v>Hultman</v>
          </cell>
          <cell r="F113" t="str">
            <v>New Hire</v>
          </cell>
        </row>
        <row r="114">
          <cell r="B114">
            <v>9</v>
          </cell>
          <cell r="C114" t="str">
            <v>Smith, N</v>
          </cell>
          <cell r="D114">
            <v>20</v>
          </cell>
          <cell r="E114" t="str">
            <v>A2-3</v>
          </cell>
          <cell r="F114" t="str">
            <v>MADG</v>
          </cell>
        </row>
        <row r="115">
          <cell r="B115">
            <v>10</v>
          </cell>
          <cell r="C115" t="str">
            <v>Gehres</v>
          </cell>
          <cell r="D115">
            <v>33.659999999999997</v>
          </cell>
          <cell r="E115" t="str">
            <v>E3-4</v>
          </cell>
          <cell r="F115" t="str">
            <v>MSTC</v>
          </cell>
        </row>
        <row r="116">
          <cell r="B116">
            <v>11</v>
          </cell>
          <cell r="C116" t="str">
            <v>Crites</v>
          </cell>
          <cell r="F116" t="str">
            <v>New Hire</v>
          </cell>
        </row>
        <row r="117">
          <cell r="B117">
            <v>12</v>
          </cell>
          <cell r="C117" t="str">
            <v>Sturges, C</v>
          </cell>
          <cell r="D117">
            <v>37.26</v>
          </cell>
          <cell r="F117" t="str">
            <v>New Hire</v>
          </cell>
        </row>
        <row r="118">
          <cell r="B118">
            <v>13</v>
          </cell>
          <cell r="C118" t="str">
            <v>Dimitriu, Paul</v>
          </cell>
          <cell r="D118">
            <v>30.8</v>
          </cell>
          <cell r="F118" t="str">
            <v>Temp</v>
          </cell>
          <cell r="G118" t="str">
            <v>(Manpower Professional Services)</v>
          </cell>
        </row>
        <row r="119">
          <cell r="B119">
            <v>14</v>
          </cell>
          <cell r="C119" t="str">
            <v>Worth, Greg</v>
          </cell>
          <cell r="D119">
            <v>46.2</v>
          </cell>
          <cell r="F119" t="str">
            <v>Temp</v>
          </cell>
          <cell r="G119" t="str">
            <v>(Manpower Professional Services)</v>
          </cell>
        </row>
        <row r="120">
          <cell r="B120">
            <v>15</v>
          </cell>
          <cell r="C120" t="str">
            <v>Collins, Doug</v>
          </cell>
          <cell r="D120">
            <v>25</v>
          </cell>
          <cell r="F120" t="str">
            <v>New Hire</v>
          </cell>
        </row>
        <row r="121">
          <cell r="B121">
            <v>16</v>
          </cell>
          <cell r="C121" t="str">
            <v>Cain, John</v>
          </cell>
          <cell r="D121">
            <v>42</v>
          </cell>
          <cell r="F121" t="str">
            <v>Temp</v>
          </cell>
          <cell r="G121" t="str">
            <v>(Manpower Professional Services)</v>
          </cell>
        </row>
        <row r="122">
          <cell r="B122">
            <v>17</v>
          </cell>
          <cell r="C122" t="str">
            <v>Maxwell, Walter</v>
          </cell>
          <cell r="D122">
            <v>42</v>
          </cell>
          <cell r="F122" t="str">
            <v>Temp</v>
          </cell>
          <cell r="G122" t="str">
            <v>(Manpower Professional Services)</v>
          </cell>
        </row>
        <row r="123">
          <cell r="B123">
            <v>18</v>
          </cell>
          <cell r="C123" t="str">
            <v>Torres, Desi</v>
          </cell>
          <cell r="D123">
            <v>42</v>
          </cell>
          <cell r="F123" t="str">
            <v>Temp</v>
          </cell>
          <cell r="G123" t="str">
            <v>(Manpower Professional Services)</v>
          </cell>
        </row>
        <row r="124">
          <cell r="B124">
            <v>19</v>
          </cell>
          <cell r="C124" t="str">
            <v>Franklin, Hubert</v>
          </cell>
          <cell r="D124">
            <v>17.5</v>
          </cell>
          <cell r="E124" t="str">
            <v>A2-1</v>
          </cell>
          <cell r="F124" t="str">
            <v>MADG</v>
          </cell>
        </row>
        <row r="125">
          <cell r="B125">
            <v>20</v>
          </cell>
          <cell r="C125" t="str">
            <v>Name - 20</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vmlDrawing" Target="../drawings/vmlDrawing1.vml" />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vmlDrawing" Target="../drawings/vmlDrawing2.v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2" Type="http://schemas.openxmlformats.org/officeDocument/2006/relationships/vmlDrawing" Target="../drawings/vmlDrawing3.vml" />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vmlDrawing" Target="../drawings/vmlDrawing4.v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vmlDrawing" Target="../drawings/vmlDrawing5.v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_rels/sheet8.xml.rels>&#65279;<?xml version="1.0" encoding="UTF-8" standalone="yes"?>
<Relationships xmlns="http://schemas.openxmlformats.org/package/2006/relationships">
  <Relationship Id="rId1" Type="http://schemas.openxmlformats.org/officeDocument/2006/relationships/printerSettings" Target="../printerSettings/printerSettings8.bin" />
</Relationships>
</file>

<file path=xl/worksheets/sheet1.xml><?xml version="1.0" encoding="utf-8"?>
<worksheet xmlns="http://schemas.openxmlformats.org/spreadsheetml/2006/main" xmlns:r="http://schemas.openxmlformats.org/officeDocument/2006/relationships">
  <dimension ref="B1:K89"/>
  <sheetViews>
    <sheetView tabSelected="1" view="pageBreakPreview" zoomScale="85" zoomScaleNormal="100" zoomScaleSheetLayoutView="85" workbookViewId="0">
      <selection activeCell="M82" sqref="M82"/>
    </sheetView>
  </sheetViews>
  <sheetFormatPr defaultRowHeight="15"/>
  <cols>
    <col min="1" max="1" width="9.140625" style="2"/>
    <col min="2" max="2" width="10.28515625" style="1" customWidth="1"/>
    <col min="3" max="3" width="9.140625" style="1"/>
    <col min="4" max="4" width="11.5703125" style="1" customWidth="1"/>
    <col min="5" max="5" width="9.140625" style="1"/>
    <col min="6" max="6" width="13" style="1" customWidth="1"/>
    <col min="7" max="7" width="10.85546875" style="1" customWidth="1"/>
    <col min="8" max="8" width="12.28515625" style="13" customWidth="1"/>
    <col min="9" max="9" width="13.28515625" style="1" customWidth="1"/>
    <col min="10" max="10" width="9.42578125" style="1" customWidth="1"/>
    <col min="11" max="11" width="20" style="23" customWidth="1"/>
    <col min="12" max="16384" width="9.140625" style="2"/>
  </cols>
  <sheetData>
    <row r="1" spans="2:11" s="35" customFormat="1" ht="18" thickBot="1">
      <c r="B1" s="15" t="s">
        <v>22</v>
      </c>
      <c r="C1" s="16" t="s">
        <v>4</v>
      </c>
      <c r="D1" s="17">
        <v>40179</v>
      </c>
      <c r="E1" s="15" t="s">
        <v>0</v>
      </c>
      <c r="F1" s="17">
        <v>40543</v>
      </c>
      <c r="G1" s="15" t="s">
        <v>1</v>
      </c>
      <c r="H1" s="18">
        <v>290</v>
      </c>
      <c r="I1" s="16" t="s">
        <v>93</v>
      </c>
      <c r="J1" s="16"/>
      <c r="K1" s="22"/>
    </row>
    <row r="2" spans="2:11" ht="15.75" thickTop="1">
      <c r="D2" s="2"/>
      <c r="F2" s="2"/>
      <c r="H2" s="13" t="s">
        <v>59</v>
      </c>
      <c r="J2" s="2"/>
    </row>
    <row r="3" spans="2:11">
      <c r="B3" s="3" t="s">
        <v>2</v>
      </c>
      <c r="E3" s="9" t="s">
        <v>92</v>
      </c>
      <c r="F3" s="10"/>
      <c r="G3" s="1" t="s">
        <v>45</v>
      </c>
    </row>
    <row r="4" spans="2:11">
      <c r="G4" s="19" t="s">
        <v>46</v>
      </c>
    </row>
    <row r="5" spans="2:11" ht="30.75" customHeight="1">
      <c r="B5" s="3" t="s">
        <v>3</v>
      </c>
      <c r="C5" s="11" t="s">
        <v>21</v>
      </c>
      <c r="G5" s="315" t="s">
        <v>47</v>
      </c>
      <c r="H5" s="316"/>
      <c r="I5" s="316"/>
      <c r="J5" s="316"/>
      <c r="K5" s="316"/>
    </row>
    <row r="7" spans="2:11" s="6" customFormat="1" ht="38.25">
      <c r="B7" s="5" t="s">
        <v>5</v>
      </c>
      <c r="C7" s="317" t="s">
        <v>8</v>
      </c>
      <c r="D7" s="317"/>
      <c r="E7" s="317"/>
      <c r="F7" s="317"/>
      <c r="G7" s="317"/>
      <c r="H7" s="34" t="s">
        <v>60</v>
      </c>
      <c r="I7" s="5" t="s">
        <v>6</v>
      </c>
      <c r="J7" s="34" t="s">
        <v>61</v>
      </c>
      <c r="K7" s="24" t="s">
        <v>7</v>
      </c>
    </row>
    <row r="8" spans="2:11" s="7" customFormat="1" ht="34.5" customHeight="1">
      <c r="B8" s="20" t="s">
        <v>11</v>
      </c>
      <c r="C8" s="312" t="s">
        <v>9</v>
      </c>
      <c r="D8" s="313"/>
      <c r="E8" s="313"/>
      <c r="F8" s="313"/>
      <c r="G8" s="314"/>
      <c r="H8" s="4"/>
      <c r="I8" s="4"/>
      <c r="J8" s="4"/>
      <c r="K8" s="25"/>
    </row>
    <row r="9" spans="2:11" s="7" customFormat="1">
      <c r="B9" s="27" t="s">
        <v>12</v>
      </c>
      <c r="C9" s="310" t="s">
        <v>62</v>
      </c>
      <c r="D9" s="310"/>
      <c r="E9" s="310"/>
      <c r="F9" s="310"/>
      <c r="G9" s="310"/>
      <c r="H9" s="29">
        <v>1093.92</v>
      </c>
      <c r="I9" s="27" t="s">
        <v>96</v>
      </c>
      <c r="J9" s="28">
        <f>H$1</f>
        <v>290</v>
      </c>
      <c r="K9" s="42">
        <f>H9*J9</f>
        <v>317236.80000000005</v>
      </c>
    </row>
    <row r="10" spans="2:11" s="7" customFormat="1">
      <c r="B10" s="27" t="s">
        <v>13</v>
      </c>
      <c r="C10" s="310" t="s">
        <v>63</v>
      </c>
      <c r="D10" s="310"/>
      <c r="E10" s="310"/>
      <c r="F10" s="310"/>
      <c r="G10" s="310"/>
      <c r="H10" s="29">
        <v>1265.04</v>
      </c>
      <c r="I10" s="27" t="s">
        <v>96</v>
      </c>
      <c r="J10" s="28">
        <f t="shared" ref="J10:J23" si="0">H$1</f>
        <v>290</v>
      </c>
      <c r="K10" s="42">
        <f t="shared" ref="K10:K23" si="1">H10*J10</f>
        <v>366861.6</v>
      </c>
    </row>
    <row r="11" spans="2:11" s="7" customFormat="1">
      <c r="B11" s="27" t="s">
        <v>14</v>
      </c>
      <c r="C11" s="310" t="s">
        <v>63</v>
      </c>
      <c r="D11" s="310"/>
      <c r="E11" s="310"/>
      <c r="F11" s="310"/>
      <c r="G11" s="310"/>
      <c r="H11" s="29">
        <v>1265.04</v>
      </c>
      <c r="I11" s="27" t="s">
        <v>96</v>
      </c>
      <c r="J11" s="28">
        <f t="shared" si="0"/>
        <v>290</v>
      </c>
      <c r="K11" s="42">
        <f t="shared" si="1"/>
        <v>366861.6</v>
      </c>
    </row>
    <row r="12" spans="2:11" s="7" customFormat="1">
      <c r="B12" s="27" t="s">
        <v>15</v>
      </c>
      <c r="C12" s="310" t="s">
        <v>63</v>
      </c>
      <c r="D12" s="310"/>
      <c r="E12" s="310"/>
      <c r="F12" s="310"/>
      <c r="G12" s="310"/>
      <c r="H12" s="29">
        <v>1265.04</v>
      </c>
      <c r="I12" s="27" t="s">
        <v>96</v>
      </c>
      <c r="J12" s="28">
        <f t="shared" si="0"/>
        <v>290</v>
      </c>
      <c r="K12" s="42">
        <f t="shared" si="1"/>
        <v>366861.6</v>
      </c>
    </row>
    <row r="13" spans="2:11" s="7" customFormat="1">
      <c r="B13" s="27" t="s">
        <v>16</v>
      </c>
      <c r="C13" s="310" t="s">
        <v>64</v>
      </c>
      <c r="D13" s="310"/>
      <c r="E13" s="310"/>
      <c r="F13" s="310"/>
      <c r="G13" s="310"/>
      <c r="H13" s="29">
        <v>987</v>
      </c>
      <c r="I13" s="27" t="s">
        <v>96</v>
      </c>
      <c r="J13" s="28">
        <f t="shared" si="0"/>
        <v>290</v>
      </c>
      <c r="K13" s="42">
        <f t="shared" si="1"/>
        <v>286230</v>
      </c>
    </row>
    <row r="14" spans="2:11" s="7" customFormat="1">
      <c r="B14" s="27" t="s">
        <v>17</v>
      </c>
      <c r="C14" s="310" t="s">
        <v>65</v>
      </c>
      <c r="D14" s="310"/>
      <c r="E14" s="310"/>
      <c r="F14" s="310"/>
      <c r="G14" s="310"/>
      <c r="H14" s="29">
        <v>987</v>
      </c>
      <c r="I14" s="27" t="s">
        <v>96</v>
      </c>
      <c r="J14" s="28">
        <f t="shared" si="0"/>
        <v>290</v>
      </c>
      <c r="K14" s="42">
        <f t="shared" si="1"/>
        <v>286230</v>
      </c>
    </row>
    <row r="15" spans="2:11" s="7" customFormat="1">
      <c r="B15" s="27" t="s">
        <v>18</v>
      </c>
      <c r="C15" s="310" t="s">
        <v>66</v>
      </c>
      <c r="D15" s="310"/>
      <c r="E15" s="310"/>
      <c r="F15" s="310"/>
      <c r="G15" s="310"/>
      <c r="H15" s="29">
        <v>1028.1600000000001</v>
      </c>
      <c r="I15" s="27" t="s">
        <v>96</v>
      </c>
      <c r="J15" s="28">
        <f t="shared" si="0"/>
        <v>290</v>
      </c>
      <c r="K15" s="42">
        <f t="shared" si="1"/>
        <v>298166.40000000002</v>
      </c>
    </row>
    <row r="16" spans="2:11" s="7" customFormat="1">
      <c r="B16" s="27" t="s">
        <v>19</v>
      </c>
      <c r="C16" s="310" t="s">
        <v>73</v>
      </c>
      <c r="D16" s="310"/>
      <c r="E16" s="310"/>
      <c r="F16" s="310"/>
      <c r="G16" s="310"/>
      <c r="H16" s="29">
        <v>876.36</v>
      </c>
      <c r="I16" s="27" t="s">
        <v>96</v>
      </c>
      <c r="J16" s="28">
        <f t="shared" si="0"/>
        <v>290</v>
      </c>
      <c r="K16" s="42">
        <f t="shared" si="1"/>
        <v>254144.4</v>
      </c>
    </row>
    <row r="17" spans="2:11" s="7" customFormat="1">
      <c r="B17" s="27" t="s">
        <v>20</v>
      </c>
      <c r="C17" s="310" t="s">
        <v>74</v>
      </c>
      <c r="D17" s="310"/>
      <c r="E17" s="310"/>
      <c r="F17" s="310"/>
      <c r="G17" s="310"/>
      <c r="H17" s="29">
        <v>769.19999999999993</v>
      </c>
      <c r="I17" s="27" t="s">
        <v>96</v>
      </c>
      <c r="J17" s="28">
        <f t="shared" si="0"/>
        <v>290</v>
      </c>
      <c r="K17" s="42">
        <f t="shared" si="1"/>
        <v>223067.99999999997</v>
      </c>
    </row>
    <row r="18" spans="2:11" s="7" customFormat="1">
      <c r="B18" s="27" t="s">
        <v>67</v>
      </c>
      <c r="C18" s="310" t="s">
        <v>74</v>
      </c>
      <c r="D18" s="310"/>
      <c r="E18" s="310"/>
      <c r="F18" s="310"/>
      <c r="G18" s="310"/>
      <c r="H18" s="29">
        <v>769.19999999999993</v>
      </c>
      <c r="I18" s="27" t="s">
        <v>96</v>
      </c>
      <c r="J18" s="28">
        <f t="shared" si="0"/>
        <v>290</v>
      </c>
      <c r="K18" s="42">
        <f t="shared" si="1"/>
        <v>223067.99999999997</v>
      </c>
    </row>
    <row r="19" spans="2:11" s="7" customFormat="1">
      <c r="B19" s="27" t="s">
        <v>68</v>
      </c>
      <c r="C19" s="310" t="s">
        <v>75</v>
      </c>
      <c r="D19" s="310"/>
      <c r="E19" s="310"/>
      <c r="F19" s="310"/>
      <c r="G19" s="310"/>
      <c r="H19" s="29">
        <v>1040.4000000000001</v>
      </c>
      <c r="I19" s="27" t="s">
        <v>96</v>
      </c>
      <c r="J19" s="28">
        <f t="shared" si="0"/>
        <v>290</v>
      </c>
      <c r="K19" s="42">
        <f t="shared" si="1"/>
        <v>301716</v>
      </c>
    </row>
    <row r="20" spans="2:11" s="7" customFormat="1">
      <c r="B20" s="27" t="s">
        <v>69</v>
      </c>
      <c r="C20" s="310" t="s">
        <v>76</v>
      </c>
      <c r="D20" s="310"/>
      <c r="E20" s="310"/>
      <c r="F20" s="310"/>
      <c r="G20" s="310"/>
      <c r="H20" s="29">
        <v>1058.1600000000001</v>
      </c>
      <c r="I20" s="27" t="s">
        <v>96</v>
      </c>
      <c r="J20" s="28">
        <f t="shared" si="0"/>
        <v>290</v>
      </c>
      <c r="K20" s="42">
        <f t="shared" si="1"/>
        <v>306866.40000000002</v>
      </c>
    </row>
    <row r="21" spans="2:11" s="7" customFormat="1">
      <c r="B21" s="27" t="s">
        <v>70</v>
      </c>
      <c r="C21" s="310" t="s">
        <v>77</v>
      </c>
      <c r="D21" s="310"/>
      <c r="E21" s="310"/>
      <c r="F21" s="310"/>
      <c r="G21" s="310"/>
      <c r="H21" s="29">
        <v>987</v>
      </c>
      <c r="I21" s="27" t="s">
        <v>96</v>
      </c>
      <c r="J21" s="28">
        <f t="shared" si="0"/>
        <v>290</v>
      </c>
      <c r="K21" s="42">
        <f t="shared" si="1"/>
        <v>286230</v>
      </c>
    </row>
    <row r="22" spans="2:11" s="7" customFormat="1">
      <c r="B22" s="27" t="s">
        <v>71</v>
      </c>
      <c r="C22" s="310" t="s">
        <v>78</v>
      </c>
      <c r="D22" s="310"/>
      <c r="E22" s="310"/>
      <c r="F22" s="310"/>
      <c r="G22" s="310"/>
      <c r="H22" s="29">
        <v>987</v>
      </c>
      <c r="I22" s="27" t="s">
        <v>96</v>
      </c>
      <c r="J22" s="28">
        <f t="shared" si="0"/>
        <v>290</v>
      </c>
      <c r="K22" s="42">
        <f t="shared" si="1"/>
        <v>286230</v>
      </c>
    </row>
    <row r="23" spans="2:11" s="7" customFormat="1">
      <c r="B23" s="27" t="s">
        <v>72</v>
      </c>
      <c r="C23" s="310" t="s">
        <v>79</v>
      </c>
      <c r="D23" s="310"/>
      <c r="E23" s="310"/>
      <c r="F23" s="310"/>
      <c r="G23" s="310"/>
      <c r="H23" s="29">
        <v>951.59999999999991</v>
      </c>
      <c r="I23" s="27" t="s">
        <v>96</v>
      </c>
      <c r="J23" s="28">
        <f t="shared" si="0"/>
        <v>290</v>
      </c>
      <c r="K23" s="42">
        <f t="shared" si="1"/>
        <v>275964</v>
      </c>
    </row>
    <row r="24" spans="2:11" s="12" customFormat="1" ht="15.75">
      <c r="B24" s="41"/>
      <c r="C24" s="311" t="s">
        <v>10</v>
      </c>
      <c r="D24" s="311"/>
      <c r="E24" s="311"/>
      <c r="F24" s="311"/>
      <c r="G24" s="311"/>
      <c r="I24" s="37"/>
      <c r="J24" s="36">
        <f>SUM(J9:J23)</f>
        <v>4350</v>
      </c>
      <c r="K24" s="43">
        <f>SUM(K9:K23)</f>
        <v>4445734.8</v>
      </c>
    </row>
    <row r="25" spans="2:11" s="7" customFormat="1" ht="12.75">
      <c r="B25" s="6"/>
      <c r="C25" s="318"/>
      <c r="D25" s="318"/>
      <c r="E25" s="318"/>
      <c r="F25" s="318"/>
      <c r="G25" s="318"/>
      <c r="J25" s="8"/>
      <c r="K25" s="26"/>
    </row>
    <row r="26" spans="2:11" s="35" customFormat="1" ht="18" thickBot="1">
      <c r="B26" s="15" t="s">
        <v>23</v>
      </c>
      <c r="C26" s="16" t="s">
        <v>4</v>
      </c>
      <c r="D26" s="17">
        <v>40544</v>
      </c>
      <c r="E26" s="15" t="s">
        <v>0</v>
      </c>
      <c r="F26" s="17">
        <v>40908</v>
      </c>
      <c r="G26" s="15" t="s">
        <v>1</v>
      </c>
      <c r="H26" s="18">
        <v>290</v>
      </c>
      <c r="I26" s="16" t="s">
        <v>94</v>
      </c>
      <c r="J26" s="16"/>
      <c r="K26" s="22"/>
    </row>
    <row r="27" spans="2:11" s="7" customFormat="1" ht="15.75" thickTop="1">
      <c r="B27" s="1"/>
      <c r="C27" s="1"/>
      <c r="D27" s="2"/>
      <c r="E27" s="1"/>
      <c r="F27" s="2"/>
      <c r="G27" s="1"/>
      <c r="H27" s="13" t="s">
        <v>59</v>
      </c>
      <c r="I27" s="1"/>
      <c r="J27" s="2"/>
      <c r="K27" s="23"/>
    </row>
    <row r="28" spans="2:11" s="7" customFormat="1">
      <c r="B28" s="3" t="s">
        <v>2</v>
      </c>
      <c r="C28" s="1"/>
      <c r="D28" s="1"/>
      <c r="E28" s="9" t="str">
        <f>E3</f>
        <v xml:space="preserve">ISAF </v>
      </c>
      <c r="F28" s="10"/>
      <c r="G28" s="1" t="s">
        <v>45</v>
      </c>
      <c r="H28" s="13"/>
      <c r="I28" s="1"/>
      <c r="J28" s="1"/>
      <c r="K28" s="23"/>
    </row>
    <row r="29" spans="2:11">
      <c r="G29" s="19" t="s">
        <v>46</v>
      </c>
    </row>
    <row r="30" spans="2:11" ht="30.75" customHeight="1">
      <c r="B30" s="3" t="s">
        <v>3</v>
      </c>
      <c r="C30" s="11" t="s">
        <v>21</v>
      </c>
      <c r="G30" s="315" t="s">
        <v>47</v>
      </c>
      <c r="H30" s="316"/>
      <c r="I30" s="316"/>
      <c r="J30" s="316"/>
      <c r="K30" s="316"/>
    </row>
    <row r="31" spans="2:11" s="7" customFormat="1">
      <c r="B31" s="1"/>
      <c r="C31" s="1"/>
      <c r="D31" s="1"/>
      <c r="E31" s="1"/>
      <c r="F31" s="1"/>
      <c r="G31" s="1"/>
      <c r="H31" s="13"/>
      <c r="I31" s="1"/>
      <c r="J31" s="1"/>
      <c r="K31" s="23"/>
    </row>
    <row r="32" spans="2:11" s="7" customFormat="1" ht="38.25">
      <c r="B32" s="5" t="s">
        <v>5</v>
      </c>
      <c r="C32" s="317" t="s">
        <v>8</v>
      </c>
      <c r="D32" s="317"/>
      <c r="E32" s="317"/>
      <c r="F32" s="317"/>
      <c r="G32" s="317"/>
      <c r="H32" s="34" t="s">
        <v>60</v>
      </c>
      <c r="I32" s="5" t="s">
        <v>6</v>
      </c>
      <c r="J32" s="34" t="s">
        <v>61</v>
      </c>
      <c r="K32" s="24" t="s">
        <v>7</v>
      </c>
    </row>
    <row r="33" spans="2:11" s="7" customFormat="1" ht="24.75" customHeight="1">
      <c r="B33" s="20" t="s">
        <v>25</v>
      </c>
      <c r="C33" s="312" t="s">
        <v>9</v>
      </c>
      <c r="D33" s="313"/>
      <c r="E33" s="313"/>
      <c r="F33" s="313"/>
      <c r="G33" s="314"/>
      <c r="H33" s="4"/>
      <c r="I33" s="4"/>
      <c r="J33" s="4"/>
      <c r="K33" s="25"/>
    </row>
    <row r="34" spans="2:11" s="7" customFormat="1">
      <c r="B34" s="27" t="s">
        <v>26</v>
      </c>
      <c r="C34" s="310" t="s">
        <v>62</v>
      </c>
      <c r="D34" s="310"/>
      <c r="E34" s="310"/>
      <c r="F34" s="310"/>
      <c r="G34" s="310"/>
      <c r="H34" s="29">
        <v>1036.92</v>
      </c>
      <c r="I34" s="27" t="s">
        <v>96</v>
      </c>
      <c r="J34" s="28">
        <f>H$1</f>
        <v>290</v>
      </c>
      <c r="K34" s="42">
        <f>H34*J34</f>
        <v>300706.80000000005</v>
      </c>
    </row>
    <row r="35" spans="2:11" s="7" customFormat="1">
      <c r="B35" s="27" t="s">
        <v>27</v>
      </c>
      <c r="C35" s="310" t="s">
        <v>63</v>
      </c>
      <c r="D35" s="310"/>
      <c r="E35" s="310"/>
      <c r="F35" s="310"/>
      <c r="G35" s="310"/>
      <c r="H35" s="29">
        <v>1202.6399999999999</v>
      </c>
      <c r="I35" s="27" t="s">
        <v>96</v>
      </c>
      <c r="J35" s="28">
        <f t="shared" ref="J35:J48" si="2">H$1</f>
        <v>290</v>
      </c>
      <c r="K35" s="42">
        <f t="shared" ref="K35:K48" si="3">H35*J35</f>
        <v>348765.6</v>
      </c>
    </row>
    <row r="36" spans="2:11" s="7" customFormat="1">
      <c r="B36" s="27" t="s">
        <v>28</v>
      </c>
      <c r="C36" s="310" t="s">
        <v>63</v>
      </c>
      <c r="D36" s="310"/>
      <c r="E36" s="310"/>
      <c r="F36" s="310"/>
      <c r="G36" s="310"/>
      <c r="H36" s="29">
        <v>1202.6399999999999</v>
      </c>
      <c r="I36" s="27" t="s">
        <v>96</v>
      </c>
      <c r="J36" s="28">
        <f t="shared" si="2"/>
        <v>290</v>
      </c>
      <c r="K36" s="42">
        <f t="shared" si="3"/>
        <v>348765.6</v>
      </c>
    </row>
    <row r="37" spans="2:11" s="7" customFormat="1">
      <c r="B37" s="27" t="s">
        <v>29</v>
      </c>
      <c r="C37" s="310" t="s">
        <v>63</v>
      </c>
      <c r="D37" s="310"/>
      <c r="E37" s="310"/>
      <c r="F37" s="310"/>
      <c r="G37" s="310"/>
      <c r="H37" s="29">
        <v>1202.6399999999999</v>
      </c>
      <c r="I37" s="27" t="s">
        <v>96</v>
      </c>
      <c r="J37" s="28">
        <f t="shared" si="2"/>
        <v>290</v>
      </c>
      <c r="K37" s="42">
        <f t="shared" si="3"/>
        <v>348765.6</v>
      </c>
    </row>
    <row r="38" spans="2:11" s="7" customFormat="1">
      <c r="B38" s="27" t="s">
        <v>30</v>
      </c>
      <c r="C38" s="310" t="s">
        <v>64</v>
      </c>
      <c r="D38" s="310"/>
      <c r="E38" s="310"/>
      <c r="F38" s="310"/>
      <c r="G38" s="310"/>
      <c r="H38" s="29">
        <v>933.36</v>
      </c>
      <c r="I38" s="27" t="s">
        <v>96</v>
      </c>
      <c r="J38" s="28">
        <f t="shared" si="2"/>
        <v>290</v>
      </c>
      <c r="K38" s="42">
        <f t="shared" si="3"/>
        <v>270674.40000000002</v>
      </c>
    </row>
    <row r="39" spans="2:11" s="7" customFormat="1">
      <c r="B39" s="27" t="s">
        <v>31</v>
      </c>
      <c r="C39" s="310" t="s">
        <v>65</v>
      </c>
      <c r="D39" s="310"/>
      <c r="E39" s="310"/>
      <c r="F39" s="310"/>
      <c r="G39" s="310"/>
      <c r="H39" s="29">
        <v>933.36</v>
      </c>
      <c r="I39" s="27" t="s">
        <v>96</v>
      </c>
      <c r="J39" s="28">
        <f t="shared" si="2"/>
        <v>290</v>
      </c>
      <c r="K39" s="42">
        <f t="shared" si="3"/>
        <v>270674.40000000002</v>
      </c>
    </row>
    <row r="40" spans="2:11" s="7" customFormat="1">
      <c r="B40" s="27" t="s">
        <v>32</v>
      </c>
      <c r="C40" s="310" t="s">
        <v>66</v>
      </c>
      <c r="D40" s="310"/>
      <c r="E40" s="310"/>
      <c r="F40" s="310"/>
      <c r="G40" s="310"/>
      <c r="H40" s="29">
        <v>1058.1600000000001</v>
      </c>
      <c r="I40" s="27" t="s">
        <v>96</v>
      </c>
      <c r="J40" s="28">
        <f t="shared" si="2"/>
        <v>290</v>
      </c>
      <c r="K40" s="42">
        <f t="shared" si="3"/>
        <v>306866.40000000002</v>
      </c>
    </row>
    <row r="41" spans="2:11" s="7" customFormat="1">
      <c r="B41" s="27" t="s">
        <v>33</v>
      </c>
      <c r="C41" s="310" t="s">
        <v>73</v>
      </c>
      <c r="D41" s="310"/>
      <c r="E41" s="310"/>
      <c r="F41" s="310"/>
      <c r="G41" s="310"/>
      <c r="H41" s="29">
        <v>902.16000000000008</v>
      </c>
      <c r="I41" s="27" t="s">
        <v>96</v>
      </c>
      <c r="J41" s="28">
        <f t="shared" si="2"/>
        <v>290</v>
      </c>
      <c r="K41" s="42">
        <f t="shared" si="3"/>
        <v>261626.40000000002</v>
      </c>
    </row>
    <row r="42" spans="2:11" s="7" customFormat="1">
      <c r="B42" s="27" t="s">
        <v>34</v>
      </c>
      <c r="C42" s="310" t="s">
        <v>74</v>
      </c>
      <c r="D42" s="310"/>
      <c r="E42" s="310"/>
      <c r="F42" s="310"/>
      <c r="G42" s="310"/>
      <c r="H42" s="29">
        <v>790.56</v>
      </c>
      <c r="I42" s="27" t="s">
        <v>96</v>
      </c>
      <c r="J42" s="28">
        <f t="shared" si="2"/>
        <v>290</v>
      </c>
      <c r="K42" s="42">
        <f t="shared" si="3"/>
        <v>229262.4</v>
      </c>
    </row>
    <row r="43" spans="2:11" s="7" customFormat="1">
      <c r="B43" s="27" t="s">
        <v>80</v>
      </c>
      <c r="C43" s="310" t="s">
        <v>74</v>
      </c>
      <c r="D43" s="310"/>
      <c r="E43" s="310"/>
      <c r="F43" s="310"/>
      <c r="G43" s="310"/>
      <c r="H43" s="29">
        <v>790.56</v>
      </c>
      <c r="I43" s="27" t="s">
        <v>96</v>
      </c>
      <c r="J43" s="28">
        <f t="shared" si="2"/>
        <v>290</v>
      </c>
      <c r="K43" s="42">
        <f t="shared" si="3"/>
        <v>229262.4</v>
      </c>
    </row>
    <row r="44" spans="2:11" s="7" customFormat="1">
      <c r="B44" s="27" t="s">
        <v>81</v>
      </c>
      <c r="C44" s="310" t="s">
        <v>75</v>
      </c>
      <c r="D44" s="310"/>
      <c r="E44" s="310"/>
      <c r="F44" s="310"/>
      <c r="G44" s="310"/>
      <c r="H44" s="29">
        <v>985.19999999999993</v>
      </c>
      <c r="I44" s="27" t="s">
        <v>96</v>
      </c>
      <c r="J44" s="28">
        <f t="shared" si="2"/>
        <v>290</v>
      </c>
      <c r="K44" s="42">
        <f t="shared" si="3"/>
        <v>285708</v>
      </c>
    </row>
    <row r="45" spans="2:11" s="7" customFormat="1">
      <c r="B45" s="27" t="s">
        <v>82</v>
      </c>
      <c r="C45" s="310" t="s">
        <v>76</v>
      </c>
      <c r="D45" s="310"/>
      <c r="E45" s="310"/>
      <c r="F45" s="310"/>
      <c r="G45" s="310"/>
      <c r="H45" s="29">
        <v>1002.36</v>
      </c>
      <c r="I45" s="27" t="s">
        <v>96</v>
      </c>
      <c r="J45" s="28">
        <f t="shared" si="2"/>
        <v>290</v>
      </c>
      <c r="K45" s="42">
        <f t="shared" si="3"/>
        <v>290684.40000000002</v>
      </c>
    </row>
    <row r="46" spans="2:11" s="7" customFormat="1">
      <c r="B46" s="27" t="s">
        <v>83</v>
      </c>
      <c r="C46" s="310" t="s">
        <v>77</v>
      </c>
      <c r="D46" s="310"/>
      <c r="E46" s="310"/>
      <c r="F46" s="310"/>
      <c r="G46" s="310"/>
      <c r="H46" s="29">
        <v>933.36</v>
      </c>
      <c r="I46" s="27" t="s">
        <v>96</v>
      </c>
      <c r="J46" s="28">
        <f t="shared" si="2"/>
        <v>290</v>
      </c>
      <c r="K46" s="42">
        <f t="shared" si="3"/>
        <v>270674.40000000002</v>
      </c>
    </row>
    <row r="47" spans="2:11" s="7" customFormat="1">
      <c r="B47" s="27" t="s">
        <v>84</v>
      </c>
      <c r="C47" s="310" t="s">
        <v>78</v>
      </c>
      <c r="D47" s="310"/>
      <c r="E47" s="310"/>
      <c r="F47" s="310"/>
      <c r="G47" s="310"/>
      <c r="H47" s="29">
        <v>933.36</v>
      </c>
      <c r="I47" s="27" t="s">
        <v>96</v>
      </c>
      <c r="J47" s="28">
        <f t="shared" si="2"/>
        <v>290</v>
      </c>
      <c r="K47" s="42">
        <f t="shared" si="3"/>
        <v>270674.40000000002</v>
      </c>
    </row>
    <row r="48" spans="2:11" s="7" customFormat="1">
      <c r="B48" s="27" t="s">
        <v>85</v>
      </c>
      <c r="C48" s="310" t="s">
        <v>79</v>
      </c>
      <c r="D48" s="310"/>
      <c r="E48" s="310"/>
      <c r="F48" s="310"/>
      <c r="G48" s="310"/>
      <c r="H48" s="29">
        <v>898.92</v>
      </c>
      <c r="I48" s="27" t="s">
        <v>96</v>
      </c>
      <c r="J48" s="28">
        <f t="shared" si="2"/>
        <v>290</v>
      </c>
      <c r="K48" s="42">
        <f t="shared" si="3"/>
        <v>260686.8</v>
      </c>
    </row>
    <row r="49" spans="2:11" s="12" customFormat="1" ht="15.75">
      <c r="B49" s="41"/>
      <c r="C49" s="311" t="s">
        <v>10</v>
      </c>
      <c r="D49" s="311"/>
      <c r="E49" s="311"/>
      <c r="F49" s="311"/>
      <c r="G49" s="311"/>
      <c r="H49" s="32"/>
      <c r="I49" s="37"/>
      <c r="J49" s="36">
        <f>SUM(J34:J48)</f>
        <v>4350</v>
      </c>
      <c r="K49" s="43">
        <f>SUM(K34:K48)</f>
        <v>4293797.9999999991</v>
      </c>
    </row>
    <row r="50" spans="2:11" s="7" customFormat="1" ht="12.75">
      <c r="B50" s="6"/>
      <c r="C50" s="318"/>
      <c r="D50" s="318"/>
      <c r="E50" s="318"/>
      <c r="F50" s="318"/>
      <c r="G50" s="318"/>
      <c r="J50" s="8"/>
      <c r="K50" s="26"/>
    </row>
    <row r="51" spans="2:11" s="35" customFormat="1" ht="18" thickBot="1">
      <c r="B51" s="15" t="s">
        <v>24</v>
      </c>
      <c r="C51" s="16" t="s">
        <v>4</v>
      </c>
      <c r="D51" s="17">
        <v>40909</v>
      </c>
      <c r="E51" s="15" t="s">
        <v>0</v>
      </c>
      <c r="F51" s="17">
        <f>D51+3*365-(H26+H1)*365/240</f>
        <v>41121.916666666664</v>
      </c>
      <c r="G51" s="15" t="s">
        <v>1</v>
      </c>
      <c r="H51" s="18">
        <v>170</v>
      </c>
      <c r="I51" s="16" t="s">
        <v>93</v>
      </c>
      <c r="J51" s="16"/>
      <c r="K51" s="22"/>
    </row>
    <row r="52" spans="2:11" s="7" customFormat="1" ht="15.75" thickTop="1">
      <c r="B52" s="1"/>
      <c r="C52" s="1"/>
      <c r="D52" s="2"/>
      <c r="E52" s="1"/>
      <c r="F52" s="2"/>
      <c r="G52" s="1"/>
      <c r="H52" s="13" t="s">
        <v>59</v>
      </c>
      <c r="I52" s="1"/>
      <c r="J52" s="2"/>
      <c r="K52" s="23"/>
    </row>
    <row r="53" spans="2:11" s="7" customFormat="1">
      <c r="B53" s="3" t="s">
        <v>2</v>
      </c>
      <c r="C53" s="1"/>
      <c r="D53" s="1"/>
      <c r="E53" s="9" t="str">
        <f>E3</f>
        <v xml:space="preserve">ISAF </v>
      </c>
      <c r="F53" s="10"/>
      <c r="G53" s="1" t="s">
        <v>45</v>
      </c>
      <c r="H53" s="13"/>
      <c r="I53" s="1"/>
      <c r="J53" s="1"/>
      <c r="K53" s="23"/>
    </row>
    <row r="54" spans="2:11">
      <c r="G54" s="19" t="s">
        <v>46</v>
      </c>
    </row>
    <row r="55" spans="2:11" ht="30.75" customHeight="1">
      <c r="B55" s="3" t="s">
        <v>3</v>
      </c>
      <c r="C55" s="11" t="s">
        <v>21</v>
      </c>
      <c r="G55" s="315" t="s">
        <v>47</v>
      </c>
      <c r="H55" s="316"/>
      <c r="I55" s="316"/>
      <c r="J55" s="316"/>
      <c r="K55" s="316"/>
    </row>
    <row r="56" spans="2:11" s="7" customFormat="1">
      <c r="B56" s="1"/>
      <c r="C56" s="1"/>
      <c r="D56" s="1"/>
      <c r="E56" s="1"/>
      <c r="F56" s="1"/>
      <c r="G56" s="1"/>
      <c r="H56" s="13"/>
      <c r="I56" s="1"/>
      <c r="J56" s="1"/>
      <c r="K56" s="23"/>
    </row>
    <row r="57" spans="2:11" s="7" customFormat="1" ht="38.25">
      <c r="B57" s="5" t="s">
        <v>5</v>
      </c>
      <c r="C57" s="317" t="s">
        <v>8</v>
      </c>
      <c r="D57" s="317"/>
      <c r="E57" s="317"/>
      <c r="F57" s="317"/>
      <c r="G57" s="317"/>
      <c r="H57" s="34" t="s">
        <v>60</v>
      </c>
      <c r="I57" s="5" t="s">
        <v>6</v>
      </c>
      <c r="J57" s="34" t="s">
        <v>61</v>
      </c>
      <c r="K57" s="24" t="s">
        <v>7</v>
      </c>
    </row>
    <row r="58" spans="2:11" s="7" customFormat="1" ht="24.75" customHeight="1">
      <c r="B58" s="20" t="s">
        <v>35</v>
      </c>
      <c r="C58" s="312" t="s">
        <v>9</v>
      </c>
      <c r="D58" s="313"/>
      <c r="E58" s="313"/>
      <c r="F58" s="313"/>
      <c r="G58" s="314"/>
      <c r="H58" s="4"/>
      <c r="I58" s="4"/>
      <c r="J58" s="4"/>
      <c r="K58" s="25"/>
    </row>
    <row r="59" spans="2:11" s="7" customFormat="1" ht="15" customHeight="1">
      <c r="B59" s="27" t="s">
        <v>36</v>
      </c>
      <c r="C59" s="310" t="s">
        <v>62</v>
      </c>
      <c r="D59" s="310"/>
      <c r="E59" s="310"/>
      <c r="F59" s="310"/>
      <c r="G59" s="310"/>
      <c r="H59" s="29">
        <v>1088.6399999999999</v>
      </c>
      <c r="I59" s="27" t="s">
        <v>96</v>
      </c>
      <c r="J59" s="28">
        <f>H$51</f>
        <v>170</v>
      </c>
      <c r="K59" s="42">
        <f t="shared" ref="K59:K73" si="4">H59*J59</f>
        <v>185068.79999999999</v>
      </c>
    </row>
    <row r="60" spans="2:11" s="7" customFormat="1" ht="15" customHeight="1">
      <c r="B60" s="27" t="s">
        <v>37</v>
      </c>
      <c r="C60" s="310" t="s">
        <v>63</v>
      </c>
      <c r="D60" s="310"/>
      <c r="E60" s="310"/>
      <c r="F60" s="310"/>
      <c r="G60" s="310"/>
      <c r="H60" s="29">
        <v>1258.8000000000002</v>
      </c>
      <c r="I60" s="27" t="s">
        <v>96</v>
      </c>
      <c r="J60" s="28">
        <f t="shared" ref="J60:J73" si="5">H$51</f>
        <v>170</v>
      </c>
      <c r="K60" s="42">
        <f t="shared" si="4"/>
        <v>213996.00000000003</v>
      </c>
    </row>
    <row r="61" spans="2:11" s="7" customFormat="1" ht="15" customHeight="1">
      <c r="B61" s="27" t="s">
        <v>38</v>
      </c>
      <c r="C61" s="310" t="s">
        <v>63</v>
      </c>
      <c r="D61" s="310"/>
      <c r="E61" s="310"/>
      <c r="F61" s="310"/>
      <c r="G61" s="310"/>
      <c r="H61" s="29">
        <v>1258.8000000000002</v>
      </c>
      <c r="I61" s="27" t="s">
        <v>96</v>
      </c>
      <c r="J61" s="28">
        <f t="shared" si="5"/>
        <v>170</v>
      </c>
      <c r="K61" s="42">
        <f t="shared" si="4"/>
        <v>213996.00000000003</v>
      </c>
    </row>
    <row r="62" spans="2:11" s="7" customFormat="1" ht="15" customHeight="1">
      <c r="B62" s="27" t="s">
        <v>39</v>
      </c>
      <c r="C62" s="310" t="s">
        <v>63</v>
      </c>
      <c r="D62" s="310"/>
      <c r="E62" s="310"/>
      <c r="F62" s="310"/>
      <c r="G62" s="310"/>
      <c r="H62" s="29">
        <v>1258.8000000000002</v>
      </c>
      <c r="I62" s="27" t="s">
        <v>96</v>
      </c>
      <c r="J62" s="28">
        <f t="shared" si="5"/>
        <v>170</v>
      </c>
      <c r="K62" s="42">
        <f t="shared" si="4"/>
        <v>213996.00000000003</v>
      </c>
    </row>
    <row r="63" spans="2:11" s="7" customFormat="1" ht="15" customHeight="1">
      <c r="B63" s="27" t="s">
        <v>40</v>
      </c>
      <c r="C63" s="310" t="s">
        <v>64</v>
      </c>
      <c r="D63" s="310"/>
      <c r="E63" s="310"/>
      <c r="F63" s="310"/>
      <c r="G63" s="310"/>
      <c r="H63" s="29">
        <v>982.80000000000007</v>
      </c>
      <c r="I63" s="27" t="s">
        <v>96</v>
      </c>
      <c r="J63" s="28">
        <f t="shared" si="5"/>
        <v>170</v>
      </c>
      <c r="K63" s="42">
        <f t="shared" si="4"/>
        <v>167076</v>
      </c>
    </row>
    <row r="64" spans="2:11" s="7" customFormat="1" ht="15" customHeight="1">
      <c r="B64" s="27" t="s">
        <v>41</v>
      </c>
      <c r="C64" s="310" t="s">
        <v>65</v>
      </c>
      <c r="D64" s="310"/>
      <c r="E64" s="310"/>
      <c r="F64" s="310"/>
      <c r="G64" s="310"/>
      <c r="H64" s="29">
        <v>982.80000000000007</v>
      </c>
      <c r="I64" s="27" t="s">
        <v>96</v>
      </c>
      <c r="J64" s="28">
        <f t="shared" si="5"/>
        <v>170</v>
      </c>
      <c r="K64" s="42">
        <f t="shared" si="4"/>
        <v>167076</v>
      </c>
    </row>
    <row r="65" spans="2:11" s="7" customFormat="1" ht="15" customHeight="1">
      <c r="B65" s="27" t="s">
        <v>42</v>
      </c>
      <c r="C65" s="310" t="s">
        <v>66</v>
      </c>
      <c r="D65" s="310"/>
      <c r="E65" s="310"/>
      <c r="F65" s="310"/>
      <c r="G65" s="310"/>
      <c r="H65" s="29">
        <v>1082.6399999999999</v>
      </c>
      <c r="I65" s="27" t="s">
        <v>96</v>
      </c>
      <c r="J65" s="28">
        <f t="shared" si="5"/>
        <v>170</v>
      </c>
      <c r="K65" s="42">
        <f t="shared" si="4"/>
        <v>184048.8</v>
      </c>
    </row>
    <row r="66" spans="2:11" s="7" customFormat="1" ht="15" customHeight="1">
      <c r="B66" s="27" t="s">
        <v>43</v>
      </c>
      <c r="C66" s="310" t="s">
        <v>73</v>
      </c>
      <c r="D66" s="310"/>
      <c r="E66" s="310"/>
      <c r="F66" s="310"/>
      <c r="G66" s="310"/>
      <c r="H66" s="29">
        <v>923.40000000000009</v>
      </c>
      <c r="I66" s="27" t="s">
        <v>96</v>
      </c>
      <c r="J66" s="28">
        <f t="shared" si="5"/>
        <v>170</v>
      </c>
      <c r="K66" s="42">
        <f t="shared" si="4"/>
        <v>156978.00000000003</v>
      </c>
    </row>
    <row r="67" spans="2:11" s="7" customFormat="1" ht="15" customHeight="1">
      <c r="B67" s="27" t="s">
        <v>44</v>
      </c>
      <c r="C67" s="310" t="s">
        <v>74</v>
      </c>
      <c r="D67" s="310"/>
      <c r="E67" s="310"/>
      <c r="F67" s="310"/>
      <c r="G67" s="310"/>
      <c r="H67" s="29">
        <v>809.76</v>
      </c>
      <c r="I67" s="27" t="s">
        <v>96</v>
      </c>
      <c r="J67" s="28">
        <f t="shared" si="5"/>
        <v>170</v>
      </c>
      <c r="K67" s="42">
        <f t="shared" si="4"/>
        <v>137659.20000000001</v>
      </c>
    </row>
    <row r="68" spans="2:11" s="7" customFormat="1" ht="15" customHeight="1">
      <c r="B68" s="27" t="s">
        <v>86</v>
      </c>
      <c r="C68" s="310" t="s">
        <v>74</v>
      </c>
      <c r="D68" s="310"/>
      <c r="E68" s="310"/>
      <c r="F68" s="310"/>
      <c r="G68" s="310"/>
      <c r="H68" s="29">
        <v>809.76</v>
      </c>
      <c r="I68" s="27" t="s">
        <v>96</v>
      </c>
      <c r="J68" s="28">
        <f t="shared" si="5"/>
        <v>170</v>
      </c>
      <c r="K68" s="42">
        <f t="shared" si="4"/>
        <v>137659.20000000001</v>
      </c>
    </row>
    <row r="69" spans="2:11" s="7" customFormat="1" ht="15" customHeight="1">
      <c r="B69" s="27" t="s">
        <v>87</v>
      </c>
      <c r="C69" s="310" t="s">
        <v>75</v>
      </c>
      <c r="D69" s="310"/>
      <c r="E69" s="310"/>
      <c r="F69" s="310"/>
      <c r="G69" s="310"/>
      <c r="H69" s="29">
        <v>1035.72</v>
      </c>
      <c r="I69" s="27" t="s">
        <v>96</v>
      </c>
      <c r="J69" s="28">
        <f t="shared" si="5"/>
        <v>170</v>
      </c>
      <c r="K69" s="42">
        <f t="shared" si="4"/>
        <v>176072.4</v>
      </c>
    </row>
    <row r="70" spans="2:11" s="7" customFormat="1" ht="15" customHeight="1">
      <c r="B70" s="27" t="s">
        <v>88</v>
      </c>
      <c r="C70" s="310" t="s">
        <v>76</v>
      </c>
      <c r="D70" s="310"/>
      <c r="E70" s="310"/>
      <c r="F70" s="310"/>
      <c r="G70" s="310"/>
      <c r="H70" s="29">
        <v>1053.24</v>
      </c>
      <c r="I70" s="27" t="s">
        <v>96</v>
      </c>
      <c r="J70" s="28">
        <f t="shared" si="5"/>
        <v>170</v>
      </c>
      <c r="K70" s="42">
        <f t="shared" si="4"/>
        <v>179050.8</v>
      </c>
    </row>
    <row r="71" spans="2:11" s="7" customFormat="1" ht="15" customHeight="1">
      <c r="B71" s="27" t="s">
        <v>89</v>
      </c>
      <c r="C71" s="310" t="s">
        <v>77</v>
      </c>
      <c r="D71" s="310"/>
      <c r="E71" s="310"/>
      <c r="F71" s="310"/>
      <c r="G71" s="310"/>
      <c r="H71" s="29">
        <v>982.80000000000007</v>
      </c>
      <c r="I71" s="27" t="s">
        <v>96</v>
      </c>
      <c r="J71" s="28">
        <f t="shared" si="5"/>
        <v>170</v>
      </c>
      <c r="K71" s="42">
        <f t="shared" si="4"/>
        <v>167076</v>
      </c>
    </row>
    <row r="72" spans="2:11" s="7" customFormat="1" ht="15" customHeight="1">
      <c r="B72" s="27" t="s">
        <v>90</v>
      </c>
      <c r="C72" s="310" t="s">
        <v>78</v>
      </c>
      <c r="D72" s="310"/>
      <c r="E72" s="310"/>
      <c r="F72" s="310"/>
      <c r="G72" s="310"/>
      <c r="H72" s="29">
        <v>982.80000000000007</v>
      </c>
      <c r="I72" s="27" t="s">
        <v>96</v>
      </c>
      <c r="J72" s="28">
        <f t="shared" si="5"/>
        <v>170</v>
      </c>
      <c r="K72" s="42">
        <f t="shared" si="4"/>
        <v>167076</v>
      </c>
    </row>
    <row r="73" spans="2:11" s="7" customFormat="1" ht="15" customHeight="1">
      <c r="B73" s="27" t="s">
        <v>91</v>
      </c>
      <c r="C73" s="310" t="s">
        <v>79</v>
      </c>
      <c r="D73" s="310"/>
      <c r="E73" s="310"/>
      <c r="F73" s="310"/>
      <c r="G73" s="310"/>
      <c r="H73" s="29">
        <v>947.40000000000009</v>
      </c>
      <c r="I73" s="27" t="s">
        <v>96</v>
      </c>
      <c r="J73" s="28">
        <f t="shared" si="5"/>
        <v>170</v>
      </c>
      <c r="K73" s="42">
        <f t="shared" si="4"/>
        <v>161058.00000000003</v>
      </c>
    </row>
    <row r="74" spans="2:11" s="12" customFormat="1" ht="15.75">
      <c r="B74" s="41"/>
      <c r="C74" s="311" t="s">
        <v>10</v>
      </c>
      <c r="D74" s="311"/>
      <c r="E74" s="311"/>
      <c r="F74" s="311"/>
      <c r="G74" s="311"/>
      <c r="H74" s="31"/>
      <c r="I74" s="37"/>
      <c r="J74" s="36">
        <f>SUM(J59:J73)</f>
        <v>2550</v>
      </c>
      <c r="K74" s="43">
        <f>SUM(K59:K73)</f>
        <v>2627887.1999999997</v>
      </c>
    </row>
    <row r="75" spans="2:11" s="7" customFormat="1" ht="12.75">
      <c r="B75" s="6"/>
      <c r="C75" s="318"/>
      <c r="D75" s="318"/>
      <c r="E75" s="318"/>
      <c r="F75" s="318"/>
      <c r="G75" s="318"/>
      <c r="J75" s="8"/>
      <c r="K75" s="8"/>
    </row>
    <row r="76" spans="2:11" s="35" customFormat="1" ht="18" thickBot="1">
      <c r="B76" s="15" t="s">
        <v>48</v>
      </c>
      <c r="C76" s="16" t="s">
        <v>4</v>
      </c>
      <c r="D76" s="17">
        <v>40179</v>
      </c>
      <c r="E76" s="15" t="s">
        <v>0</v>
      </c>
      <c r="F76" s="17">
        <v>41213</v>
      </c>
      <c r="G76" s="15"/>
      <c r="H76" s="18"/>
      <c r="I76" s="16"/>
      <c r="J76" s="16"/>
      <c r="K76" s="38"/>
    </row>
    <row r="77" spans="2:11" ht="15.75" thickTop="1">
      <c r="J77" s="14"/>
      <c r="K77" s="39"/>
    </row>
    <row r="78" spans="2:11" s="6" customFormat="1" ht="38.25">
      <c r="B78" s="5" t="s">
        <v>5</v>
      </c>
      <c r="C78" s="317" t="s">
        <v>8</v>
      </c>
      <c r="D78" s="317"/>
      <c r="E78" s="317"/>
      <c r="F78" s="317"/>
      <c r="G78" s="317"/>
      <c r="H78" s="34" t="s">
        <v>60</v>
      </c>
      <c r="I78" s="5" t="s">
        <v>6</v>
      </c>
      <c r="J78" s="34" t="s">
        <v>61</v>
      </c>
      <c r="K78" s="40" t="s">
        <v>7</v>
      </c>
    </row>
    <row r="79" spans="2:11" s="6" customFormat="1" ht="27" customHeight="1">
      <c r="B79" s="5"/>
      <c r="C79" s="312" t="s">
        <v>51</v>
      </c>
      <c r="D79" s="313"/>
      <c r="E79" s="313"/>
      <c r="F79" s="313"/>
      <c r="G79" s="314"/>
      <c r="H79" s="5"/>
      <c r="I79" s="5"/>
      <c r="J79" s="5"/>
      <c r="K79" s="40"/>
    </row>
    <row r="80" spans="2:11" s="7" customFormat="1" ht="48" customHeight="1">
      <c r="B80" s="27" t="s">
        <v>49</v>
      </c>
      <c r="C80" s="310" t="s">
        <v>52</v>
      </c>
      <c r="D80" s="310"/>
      <c r="E80" s="310"/>
      <c r="F80" s="310"/>
      <c r="G80" s="310"/>
      <c r="H80" s="29">
        <v>722.7360000000001</v>
      </c>
      <c r="I80" s="27" t="s">
        <v>96</v>
      </c>
      <c r="J80" s="28">
        <f>6*15</f>
        <v>90</v>
      </c>
      <c r="K80" s="42">
        <f t="shared" ref="K80:K81" si="6">H80*J80</f>
        <v>65046.240000000013</v>
      </c>
    </row>
    <row r="81" spans="2:11" s="7" customFormat="1" ht="45" customHeight="1">
      <c r="B81" s="27" t="s">
        <v>50</v>
      </c>
      <c r="C81" s="310" t="s">
        <v>53</v>
      </c>
      <c r="D81" s="310"/>
      <c r="E81" s="310"/>
      <c r="F81" s="310"/>
      <c r="G81" s="310"/>
      <c r="H81" s="29">
        <v>701.96799999999996</v>
      </c>
      <c r="I81" s="27" t="s">
        <v>96</v>
      </c>
      <c r="J81" s="28">
        <f>15*10</f>
        <v>150</v>
      </c>
      <c r="K81" s="42">
        <f t="shared" si="6"/>
        <v>105295.2</v>
      </c>
    </row>
    <row r="82" spans="2:11" s="12" customFormat="1" ht="15.75">
      <c r="B82" s="41"/>
      <c r="C82" s="311" t="s">
        <v>10</v>
      </c>
      <c r="D82" s="311"/>
      <c r="E82" s="311"/>
      <c r="F82" s="311"/>
      <c r="G82" s="311"/>
      <c r="I82" s="37"/>
      <c r="J82" s="36">
        <f>SUM(J80:J81)</f>
        <v>240</v>
      </c>
      <c r="K82" s="43">
        <f>SUM(K80:K81)</f>
        <v>170341.44</v>
      </c>
    </row>
    <row r="83" spans="2:11" ht="15.75" thickBot="1"/>
    <row r="84" spans="2:11" ht="19.5" thickBot="1">
      <c r="I84" s="21" t="s">
        <v>54</v>
      </c>
      <c r="K84" s="44">
        <f>SUM(K82,K74,K49,K24)</f>
        <v>11537761.439999998</v>
      </c>
    </row>
    <row r="86" spans="2:11" ht="18.75">
      <c r="B86" s="33" t="s">
        <v>58</v>
      </c>
    </row>
    <row r="88" spans="2:11">
      <c r="B88" s="30" t="s">
        <v>5</v>
      </c>
      <c r="C88" s="317" t="s">
        <v>8</v>
      </c>
      <c r="D88" s="317"/>
      <c r="E88" s="317"/>
      <c r="F88" s="317"/>
      <c r="G88" s="317"/>
      <c r="H88" s="30" t="s">
        <v>56</v>
      </c>
      <c r="I88" s="30" t="s">
        <v>6</v>
      </c>
      <c r="J88" s="30" t="s">
        <v>57</v>
      </c>
      <c r="K88" s="24" t="s">
        <v>7</v>
      </c>
    </row>
    <row r="89" spans="2:11" s="7" customFormat="1" ht="75.75" customHeight="1">
      <c r="B89" s="27" t="s">
        <v>55</v>
      </c>
      <c r="C89" s="310" t="s">
        <v>95</v>
      </c>
      <c r="D89" s="310"/>
      <c r="E89" s="310"/>
      <c r="F89" s="310"/>
      <c r="G89" s="310"/>
      <c r="H89" s="29">
        <v>1606.6000000000001</v>
      </c>
      <c r="I89" s="27" t="s">
        <v>96</v>
      </c>
      <c r="J89" s="28">
        <v>1</v>
      </c>
      <c r="K89" s="42">
        <f>H89*J89</f>
        <v>1606.6000000000001</v>
      </c>
    </row>
  </sheetData>
  <mergeCells count="67">
    <mergeCell ref="C72:G72"/>
    <mergeCell ref="C67:G67"/>
    <mergeCell ref="C68:G68"/>
    <mergeCell ref="C69:G69"/>
    <mergeCell ref="C70:G70"/>
    <mergeCell ref="C71:G71"/>
    <mergeCell ref="C22:G22"/>
    <mergeCell ref="C42:G42"/>
    <mergeCell ref="C43:G43"/>
    <mergeCell ref="C44:G44"/>
    <mergeCell ref="C45:G45"/>
    <mergeCell ref="C35:G35"/>
    <mergeCell ref="C24:G24"/>
    <mergeCell ref="C25:G25"/>
    <mergeCell ref="C36:G36"/>
    <mergeCell ref="C37:G37"/>
    <mergeCell ref="C38:G38"/>
    <mergeCell ref="C39:G39"/>
    <mergeCell ref="C40:G40"/>
    <mergeCell ref="C41:G41"/>
    <mergeCell ref="C17:G17"/>
    <mergeCell ref="C18:G18"/>
    <mergeCell ref="C19:G19"/>
    <mergeCell ref="C20:G20"/>
    <mergeCell ref="C21:G21"/>
    <mergeCell ref="C88:G88"/>
    <mergeCell ref="C89:G89"/>
    <mergeCell ref="C23:G23"/>
    <mergeCell ref="C7:G7"/>
    <mergeCell ref="C8:G8"/>
    <mergeCell ref="C9:G9"/>
    <mergeCell ref="C10:G10"/>
    <mergeCell ref="C11:G11"/>
    <mergeCell ref="C12:G12"/>
    <mergeCell ref="C13:G13"/>
    <mergeCell ref="C14:G14"/>
    <mergeCell ref="C15:G15"/>
    <mergeCell ref="C16:G16"/>
    <mergeCell ref="C32:G32"/>
    <mergeCell ref="C33:G33"/>
    <mergeCell ref="C34:G34"/>
    <mergeCell ref="C48:G48"/>
    <mergeCell ref="C49:G49"/>
    <mergeCell ref="C46:G46"/>
    <mergeCell ref="C47:G47"/>
    <mergeCell ref="C50:G50"/>
    <mergeCell ref="C64:G64"/>
    <mergeCell ref="C65:G65"/>
    <mergeCell ref="C57:G57"/>
    <mergeCell ref="C58:G58"/>
    <mergeCell ref="C59:G59"/>
    <mergeCell ref="C80:G80"/>
    <mergeCell ref="C81:G81"/>
    <mergeCell ref="C82:G82"/>
    <mergeCell ref="C79:G79"/>
    <mergeCell ref="G5:K5"/>
    <mergeCell ref="G30:K30"/>
    <mergeCell ref="G55:K55"/>
    <mergeCell ref="C78:G78"/>
    <mergeCell ref="C66:G66"/>
    <mergeCell ref="C73:G73"/>
    <mergeCell ref="C74:G74"/>
    <mergeCell ref="C75:G75"/>
    <mergeCell ref="C60:G60"/>
    <mergeCell ref="C61:G61"/>
    <mergeCell ref="C62:G62"/>
    <mergeCell ref="C63:G63"/>
  </mergeCells>
  <pageMargins left="1" right="1" top="1" bottom="1" header="0.5" footer="0.5"/>
  <pageSetup scale="69" fitToHeight="2" orientation="portrait" r:id="rId1"/>
  <headerFooter>
    <oddHeader>&amp;CNATO UNCLASSIFIED&amp;RIFIB -NCSA-NCHQ-09-07</oddHeader>
    <oddFooter>&amp;CNATO UNCLASSIFIED</oddFooter>
  </headerFooter>
  <rowBreaks count="1" manualBreakCount="1">
    <brk id="50" min="1" max="10" man="1"/>
  </rowBreaks>
</worksheet>
</file>

<file path=xl/worksheets/sheet2.xml><?xml version="1.0" encoding="utf-8"?>
<worksheet xmlns="http://schemas.openxmlformats.org/spreadsheetml/2006/main" xmlns:r="http://schemas.openxmlformats.org/officeDocument/2006/relationships">
  <sheetPr>
    <tabColor indexed="57"/>
    <pageSetUpPr fitToPage="1"/>
  </sheetPr>
  <dimension ref="A1:BA92"/>
  <sheetViews>
    <sheetView showGridLines="0" view="pageBreakPreview" topLeftCell="D1" zoomScale="85" zoomScaleNormal="70" zoomScaleSheetLayoutView="85" workbookViewId="0">
      <selection activeCell="D71" sqref="D71"/>
    </sheetView>
  </sheetViews>
  <sheetFormatPr defaultRowHeight="12.75" outlineLevelRow="1" outlineLevelCol="1"/>
  <cols>
    <col min="1" max="1" width="9.5703125" style="45" bestFit="1" customWidth="1"/>
    <col min="2" max="2" width="9.5703125" style="45" customWidth="1"/>
    <col min="3" max="3" width="9.140625" style="45"/>
    <col min="4" max="4" width="3.85546875" style="45" customWidth="1"/>
    <col min="5" max="5" width="17.7109375" style="47" customWidth="1"/>
    <col min="6" max="7" width="10.5703125" style="47" customWidth="1"/>
    <col min="8" max="8" width="3" style="47" customWidth="1"/>
    <col min="9" max="9" width="11.28515625" style="47" bestFit="1" customWidth="1"/>
    <col min="10" max="10" width="16.5703125" style="47" hidden="1" customWidth="1" outlineLevel="1"/>
    <col min="11" max="11" width="20.42578125" style="47" hidden="1" customWidth="1" outlineLevel="1"/>
    <col min="12" max="12" width="14" style="47" bestFit="1" customWidth="1" collapsed="1"/>
    <col min="13" max="13" width="14.7109375" style="47" bestFit="1" customWidth="1"/>
    <col min="14" max="14" width="12" style="47" customWidth="1"/>
    <col min="15" max="15" width="11.140625" style="47" customWidth="1" outlineLevel="1"/>
    <col min="16" max="16" width="9.85546875" style="47" customWidth="1" outlineLevel="1"/>
    <col min="17" max="17" width="9.85546875" style="47" bestFit="1" customWidth="1"/>
    <col min="18" max="18" width="16.7109375" style="47" customWidth="1"/>
    <col min="19" max="19" width="20.140625" style="47" bestFit="1" customWidth="1"/>
    <col min="20" max="20" width="10.5703125" style="47" bestFit="1" customWidth="1"/>
    <col min="21" max="23" width="12.42578125" style="47" bestFit="1" customWidth="1" outlineLevel="1"/>
    <col min="24" max="25" width="8.42578125" style="47" bestFit="1" customWidth="1" outlineLevel="1"/>
    <col min="26" max="26" width="10.5703125" style="47" customWidth="1"/>
    <col min="27" max="27" width="8.85546875" style="47" bestFit="1" customWidth="1"/>
    <col min="28" max="28" width="11.140625" style="47" customWidth="1"/>
    <col min="29" max="29" width="10" style="47" customWidth="1"/>
    <col min="30" max="30" width="10.42578125" style="47" customWidth="1"/>
    <col min="31" max="31" width="13.28515625" style="47" customWidth="1"/>
    <col min="32" max="32" width="12.42578125" style="47" customWidth="1" outlineLevel="1"/>
    <col min="33" max="35" width="10.7109375" style="47" customWidth="1" outlineLevel="1"/>
    <col min="36" max="36" width="9.85546875" style="47" customWidth="1" outlineLevel="1"/>
    <col min="37" max="42" width="11.140625" style="47" customWidth="1" outlineLevel="1"/>
    <col min="43" max="43" width="11.28515625" style="47" customWidth="1" outlineLevel="1"/>
    <col min="44" max="44" width="10.28515625" style="47" customWidth="1" outlineLevel="1"/>
    <col min="45" max="45" width="11.140625" style="47" customWidth="1" outlineLevel="1"/>
    <col min="46" max="46" width="10.7109375" style="47" customWidth="1" outlineLevel="1"/>
    <col min="47" max="47" width="3.5703125" style="45" customWidth="1" outlineLevel="1"/>
    <col min="48" max="48" width="13.7109375" style="47" customWidth="1" outlineLevel="1"/>
    <col min="49" max="49" width="13.7109375" style="45" customWidth="1"/>
    <col min="50" max="51" width="9.140625" style="45" customWidth="1"/>
    <col min="52" max="53" width="19.85546875" style="46" bestFit="1" customWidth="1"/>
    <col min="54" max="16384" width="9.140625" style="45"/>
  </cols>
  <sheetData>
    <row r="1" spans="1:53">
      <c r="E1" s="239" t="s">
        <v>185</v>
      </c>
      <c r="F1" s="236" t="s">
        <v>229</v>
      </c>
      <c r="G1" s="235"/>
      <c r="H1" s="235"/>
      <c r="I1" s="235"/>
      <c r="J1" s="238"/>
      <c r="K1" s="238"/>
      <c r="L1" s="235"/>
      <c r="M1" s="237" t="s">
        <v>184</v>
      </c>
      <c r="N1" s="236" t="s">
        <v>226</v>
      </c>
      <c r="O1" s="235"/>
      <c r="P1" s="235"/>
      <c r="Q1" s="235"/>
      <c r="R1" s="235"/>
      <c r="S1" s="235"/>
      <c r="T1" s="235"/>
      <c r="U1" s="235"/>
      <c r="V1" s="235"/>
      <c r="W1" s="235"/>
      <c r="X1" s="235"/>
      <c r="Y1" s="235"/>
      <c r="Z1" s="235"/>
      <c r="AA1" s="235"/>
      <c r="AB1" s="235"/>
      <c r="AC1" s="235"/>
      <c r="AD1" s="235"/>
      <c r="AE1" s="235"/>
      <c r="AF1" s="234"/>
      <c r="AZ1" s="233"/>
      <c r="BA1" s="233"/>
    </row>
    <row r="2" spans="1:53">
      <c r="E2" s="91" t="s">
        <v>183</v>
      </c>
      <c r="F2" s="319" t="s">
        <v>228</v>
      </c>
      <c r="G2" s="319"/>
      <c r="H2" s="319"/>
      <c r="I2" s="319"/>
      <c r="J2" s="319"/>
      <c r="K2" s="319"/>
      <c r="L2" s="320"/>
      <c r="M2" s="151" t="s">
        <v>182</v>
      </c>
      <c r="N2" s="232" t="s">
        <v>227</v>
      </c>
      <c r="O2" s="45"/>
      <c r="P2" s="45"/>
      <c r="Q2" s="45"/>
      <c r="R2" s="45"/>
      <c r="S2" s="45"/>
      <c r="T2" s="45"/>
      <c r="U2" s="45"/>
      <c r="V2" s="45"/>
      <c r="W2" s="45"/>
      <c r="X2" s="45"/>
      <c r="Y2" s="45"/>
      <c r="Z2" s="45"/>
      <c r="AA2" s="45"/>
      <c r="AB2" s="45"/>
      <c r="AC2" s="45"/>
      <c r="AD2" s="45"/>
      <c r="AE2" s="45"/>
      <c r="AF2" s="90"/>
    </row>
    <row r="3" spans="1:53" s="83" customFormat="1" ht="13.5" thickBot="1">
      <c r="A3" s="45"/>
      <c r="B3" s="45"/>
      <c r="C3" s="45"/>
      <c r="D3" s="45"/>
      <c r="E3" s="84" t="s">
        <v>181</v>
      </c>
      <c r="F3" s="231" t="s">
        <v>180</v>
      </c>
      <c r="J3" s="230"/>
      <c r="K3" s="230"/>
      <c r="M3" s="229"/>
      <c r="Q3" s="228"/>
      <c r="AF3" s="79"/>
      <c r="AK3" s="228"/>
      <c r="AL3" s="228"/>
      <c r="AM3" s="228"/>
      <c r="AN3" s="228"/>
      <c r="AO3" s="228"/>
      <c r="AP3" s="228"/>
      <c r="AZ3" s="227"/>
      <c r="BA3" s="227"/>
    </row>
    <row r="4" spans="1:53">
      <c r="E4" s="91"/>
      <c r="F4" s="45"/>
      <c r="G4" s="45"/>
      <c r="H4" s="45"/>
      <c r="I4" s="45"/>
      <c r="J4" s="226"/>
      <c r="K4" s="226"/>
      <c r="L4" s="45"/>
      <c r="M4" s="45"/>
      <c r="N4" s="45"/>
      <c r="O4" s="45"/>
      <c r="P4" s="45"/>
      <c r="Q4" s="45"/>
      <c r="R4" s="45"/>
      <c r="S4" s="45"/>
      <c r="T4" s="45"/>
      <c r="U4" s="45"/>
      <c r="V4" s="45"/>
      <c r="W4" s="45"/>
      <c r="X4" s="45"/>
      <c r="Y4" s="45"/>
      <c r="Z4" s="45"/>
      <c r="AA4" s="45"/>
      <c r="AB4" s="45"/>
      <c r="AC4" s="45"/>
      <c r="AD4" s="45"/>
      <c r="AE4" s="45"/>
      <c r="AF4" s="90"/>
      <c r="AT4" s="45"/>
    </row>
    <row r="5" spans="1:53" hidden="1" outlineLevel="1">
      <c r="E5" s="91"/>
      <c r="F5" s="45"/>
      <c r="G5" s="45"/>
      <c r="H5" s="45"/>
      <c r="I5" s="45"/>
      <c r="J5" s="225"/>
      <c r="K5" s="225"/>
      <c r="L5" s="224"/>
      <c r="M5" s="45"/>
      <c r="N5" s="146" t="str">
        <f>N28&amp;"%"</f>
        <v>B%</v>
      </c>
      <c r="O5" s="146" t="str">
        <f>O28&amp;"%"</f>
        <v>%</v>
      </c>
      <c r="P5" s="146" t="str">
        <f>P28&amp;"%"</f>
        <v>%</v>
      </c>
      <c r="Q5" s="146" t="str">
        <f>Q28&amp;"%"</f>
        <v>C%</v>
      </c>
      <c r="R5" s="146" t="str">
        <f>R28&amp;"%"</f>
        <v>D%</v>
      </c>
      <c r="S5" s="146"/>
      <c r="T5" s="146"/>
      <c r="U5" s="146" t="str">
        <f t="shared" ref="U5:Z5" si="0">U28&amp;"%"</f>
        <v>%</v>
      </c>
      <c r="V5" s="146" t="str">
        <f t="shared" si="0"/>
        <v>%</v>
      </c>
      <c r="W5" s="146" t="str">
        <f t="shared" si="0"/>
        <v>%</v>
      </c>
      <c r="X5" s="146" t="str">
        <f t="shared" si="0"/>
        <v>%</v>
      </c>
      <c r="Y5" s="146" t="str">
        <f t="shared" si="0"/>
        <v>%</v>
      </c>
      <c r="Z5" s="146" t="str">
        <f t="shared" si="0"/>
        <v>E%</v>
      </c>
      <c r="AA5" s="146"/>
      <c r="AB5" s="146" t="str">
        <f>AB28&amp;"%"</f>
        <v>G%</v>
      </c>
      <c r="AC5" s="45"/>
      <c r="AD5" s="45"/>
      <c r="AE5" s="45"/>
      <c r="AF5" s="90"/>
      <c r="AJ5" s="146"/>
      <c r="AK5" s="146"/>
      <c r="AL5" s="146"/>
      <c r="AM5" s="146"/>
      <c r="AN5" s="146"/>
      <c r="AO5" s="146"/>
      <c r="AP5" s="146"/>
      <c r="AQ5" s="146"/>
      <c r="AR5" s="146"/>
      <c r="AS5" s="146"/>
      <c r="AT5" s="220"/>
      <c r="AU5" s="143"/>
    </row>
    <row r="6" spans="1:53" hidden="1" outlineLevel="1">
      <c r="E6" s="91"/>
      <c r="F6" s="45"/>
      <c r="G6" s="45"/>
      <c r="H6" s="45"/>
      <c r="I6" s="223"/>
      <c r="J6" s="221"/>
      <c r="K6" s="146"/>
      <c r="L6" s="222">
        <f t="shared" ref="L6:R6" ca="1" si="1">COLUMN(L6)-COLUMN(OFFSET($L6,0,-1))</f>
        <v>1</v>
      </c>
      <c r="M6" s="222">
        <f t="shared" ca="1" si="1"/>
        <v>2</v>
      </c>
      <c r="N6" s="222">
        <f t="shared" ca="1" si="1"/>
        <v>3</v>
      </c>
      <c r="O6" s="222">
        <f t="shared" ca="1" si="1"/>
        <v>4</v>
      </c>
      <c r="P6" s="222">
        <f t="shared" ca="1" si="1"/>
        <v>5</v>
      </c>
      <c r="Q6" s="222">
        <f t="shared" ca="1" si="1"/>
        <v>6</v>
      </c>
      <c r="R6" s="222">
        <f t="shared" ca="1" si="1"/>
        <v>7</v>
      </c>
      <c r="S6" s="222"/>
      <c r="T6" s="222"/>
      <c r="U6" s="222">
        <f t="shared" ref="U6:Z6" ca="1" si="2">COLUMN(U6)-COLUMN(OFFSET($L6,0,-1))</f>
        <v>10</v>
      </c>
      <c r="V6" s="222">
        <f t="shared" ca="1" si="2"/>
        <v>11</v>
      </c>
      <c r="W6" s="222">
        <f t="shared" ca="1" si="2"/>
        <v>12</v>
      </c>
      <c r="X6" s="222">
        <f t="shared" ca="1" si="2"/>
        <v>13</v>
      </c>
      <c r="Y6" s="222">
        <f t="shared" ca="1" si="2"/>
        <v>14</v>
      </c>
      <c r="Z6" s="222">
        <f t="shared" ca="1" si="2"/>
        <v>15</v>
      </c>
      <c r="AA6" s="222"/>
      <c r="AB6" s="222">
        <f ca="1">COLUMN(AB6)-COLUMN(OFFSET($L6,0,-1))</f>
        <v>17</v>
      </c>
      <c r="AC6" s="45"/>
      <c r="AD6" s="45"/>
      <c r="AE6" s="45"/>
      <c r="AF6" s="90"/>
      <c r="AG6" s="221"/>
      <c r="AH6" s="221"/>
      <c r="AI6" s="221"/>
      <c r="AJ6" s="146"/>
      <c r="AK6" s="146"/>
      <c r="AL6" s="146"/>
      <c r="AM6" s="146"/>
      <c r="AN6" s="146"/>
      <c r="AO6" s="146"/>
      <c r="AP6" s="146"/>
      <c r="AQ6" s="146"/>
      <c r="AR6" s="146"/>
      <c r="AS6" s="146"/>
      <c r="AT6" s="220"/>
      <c r="AU6" s="143"/>
    </row>
    <row r="7" spans="1:53" collapsed="1">
      <c r="E7" s="219"/>
      <c r="F7" s="139" t="s">
        <v>179</v>
      </c>
      <c r="G7" s="139" t="s">
        <v>178</v>
      </c>
      <c r="H7" s="139"/>
      <c r="I7" s="69"/>
      <c r="J7" s="213"/>
      <c r="K7" s="213"/>
      <c r="L7" s="218"/>
      <c r="M7" s="217"/>
      <c r="N7" s="217"/>
      <c r="O7" s="217"/>
      <c r="P7" s="217"/>
      <c r="Q7" s="217" t="s">
        <v>261</v>
      </c>
      <c r="R7" s="217"/>
      <c r="S7" s="217"/>
      <c r="T7" s="217"/>
      <c r="U7" s="217"/>
      <c r="V7" s="217"/>
      <c r="W7" s="217"/>
      <c r="X7" s="217"/>
      <c r="Y7" s="217"/>
      <c r="Z7" s="217" t="str">
        <f>$Q7</f>
        <v>Contr/Govt</v>
      </c>
      <c r="AA7" s="217"/>
      <c r="AB7" s="216"/>
      <c r="AC7" s="45"/>
      <c r="AD7" s="45"/>
      <c r="AE7" s="45"/>
      <c r="AF7" s="215"/>
      <c r="AG7" s="214"/>
      <c r="AH7" s="214"/>
      <c r="AI7" s="214"/>
      <c r="AJ7" s="213"/>
      <c r="AK7" s="213"/>
      <c r="AL7" s="213"/>
      <c r="AM7" s="213"/>
      <c r="AN7" s="213"/>
      <c r="AO7" s="213"/>
      <c r="AP7" s="213"/>
      <c r="AQ7" s="213"/>
      <c r="AR7" s="213"/>
      <c r="AS7" s="212"/>
      <c r="AT7" s="151"/>
    </row>
    <row r="8" spans="1:53" ht="14.25" customHeight="1">
      <c r="E8" s="211" t="s">
        <v>264</v>
      </c>
      <c r="F8" s="210">
        <v>40179</v>
      </c>
      <c r="G8" s="209">
        <v>40543</v>
      </c>
      <c r="H8" s="208"/>
      <c r="I8" s="164"/>
      <c r="J8" s="205" t="s">
        <v>177</v>
      </c>
      <c r="K8" s="205" t="s">
        <v>176</v>
      </c>
      <c r="L8" s="75" t="s">
        <v>175</v>
      </c>
      <c r="M8" s="205" t="s">
        <v>174</v>
      </c>
      <c r="N8" s="205" t="s">
        <v>173</v>
      </c>
      <c r="O8" s="205" t="s">
        <v>172</v>
      </c>
      <c r="P8" s="205" t="s">
        <v>171</v>
      </c>
      <c r="Q8" s="205" t="s">
        <v>170</v>
      </c>
      <c r="R8" s="205" t="s">
        <v>169</v>
      </c>
      <c r="S8" s="205" t="s">
        <v>168</v>
      </c>
      <c r="T8" s="205" t="s">
        <v>167</v>
      </c>
      <c r="U8" s="205" t="s">
        <v>166</v>
      </c>
      <c r="V8" s="205" t="s">
        <v>165</v>
      </c>
      <c r="W8" s="205" t="s">
        <v>164</v>
      </c>
      <c r="X8" s="205" t="s">
        <v>163</v>
      </c>
      <c r="Y8" s="205" t="s">
        <v>162</v>
      </c>
      <c r="Z8" s="205" t="s">
        <v>161</v>
      </c>
      <c r="AA8" s="205" t="s">
        <v>160</v>
      </c>
      <c r="AB8" s="71" t="s">
        <v>159</v>
      </c>
      <c r="AC8" s="45"/>
      <c r="AD8" s="45"/>
      <c r="AE8" s="45"/>
      <c r="AF8" s="207" t="s">
        <v>158</v>
      </c>
      <c r="AG8" s="206"/>
      <c r="AH8" s="206"/>
      <c r="AI8" s="206"/>
      <c r="AJ8" s="205"/>
      <c r="AK8" s="205"/>
      <c r="AL8" s="205"/>
      <c r="AM8" s="205"/>
      <c r="AN8" s="205"/>
      <c r="AO8" s="205"/>
      <c r="AP8" s="205"/>
      <c r="AQ8" s="205"/>
      <c r="AR8" s="205"/>
      <c r="AS8" s="205"/>
      <c r="AT8" s="151"/>
    </row>
    <row r="9" spans="1:53" hidden="1">
      <c r="B9" s="45">
        <v>750</v>
      </c>
      <c r="E9" s="91"/>
      <c r="F9" s="45"/>
      <c r="G9" s="45"/>
      <c r="H9" s="45"/>
      <c r="I9" s="164"/>
      <c r="J9" s="193" t="s">
        <v>262</v>
      </c>
      <c r="K9" s="192" t="s">
        <v>157</v>
      </c>
      <c r="L9" s="172" t="s">
        <v>157</v>
      </c>
      <c r="M9" s="190">
        <v>3.3000000000000002E-2</v>
      </c>
      <c r="N9" s="189">
        <v>1.0247499999999998</v>
      </c>
      <c r="O9" s="188">
        <v>0.35</v>
      </c>
      <c r="P9" s="188">
        <v>0.35</v>
      </c>
      <c r="Q9" s="184">
        <v>0.31240000000000001</v>
      </c>
      <c r="R9" s="184">
        <v>0.1988</v>
      </c>
      <c r="S9" s="184"/>
      <c r="T9" s="184"/>
      <c r="U9" s="203">
        <v>5000</v>
      </c>
      <c r="V9" s="203">
        <v>5000</v>
      </c>
      <c r="W9" s="188">
        <v>0.35</v>
      </c>
      <c r="X9" s="188">
        <v>0.35</v>
      </c>
      <c r="Y9" s="188">
        <v>0.35</v>
      </c>
      <c r="Z9" s="184">
        <v>9.4700000000000006E-2</v>
      </c>
      <c r="AA9" s="187"/>
      <c r="AB9" s="167">
        <v>0.15</v>
      </c>
      <c r="AC9" s="45"/>
      <c r="AD9" s="45"/>
      <c r="AE9" s="45"/>
      <c r="AF9" s="195">
        <f t="shared" ref="AF9:AF24" si="3">IF(M9="","",M9)</f>
        <v>3.3000000000000002E-2</v>
      </c>
      <c r="AG9" s="185"/>
      <c r="AH9" s="185"/>
      <c r="AI9" s="185"/>
      <c r="AJ9" s="184"/>
      <c r="AK9" s="184"/>
      <c r="AL9" s="184"/>
      <c r="AM9" s="184"/>
      <c r="AN9" s="184"/>
      <c r="AO9" s="184"/>
      <c r="AP9" s="184"/>
      <c r="AQ9" s="184"/>
      <c r="AR9" s="184"/>
      <c r="AS9" s="184"/>
      <c r="AT9" s="151"/>
    </row>
    <row r="10" spans="1:53" ht="15" customHeight="1">
      <c r="B10" s="45">
        <f>B9/3</f>
        <v>250</v>
      </c>
      <c r="E10" s="91"/>
      <c r="F10" s="45"/>
      <c r="G10" s="45"/>
      <c r="H10" s="45"/>
      <c r="I10" s="164"/>
      <c r="J10" s="174" t="str">
        <f>J$9</f>
        <v>IS</v>
      </c>
      <c r="K10" s="173" t="s">
        <v>120</v>
      </c>
      <c r="L10" s="200" t="s">
        <v>120</v>
      </c>
      <c r="M10" s="190">
        <v>3.3000000000000002E-2</v>
      </c>
      <c r="N10" s="189">
        <v>1.0247499999999998</v>
      </c>
      <c r="O10" s="197">
        <v>0.35</v>
      </c>
      <c r="P10" s="197">
        <v>0.35</v>
      </c>
      <c r="Q10" s="184">
        <v>0.31240000000000001</v>
      </c>
      <c r="R10" s="184">
        <v>2.23E-2</v>
      </c>
      <c r="S10" s="204">
        <f ca="1">+AE48</f>
        <v>14109.6</v>
      </c>
      <c r="T10" s="204">
        <f ca="1">+AE49</f>
        <v>3741.12</v>
      </c>
      <c r="U10" s="188">
        <v>0.15</v>
      </c>
      <c r="V10" s="203">
        <v>5000</v>
      </c>
      <c r="W10" s="202">
        <f>75.04*12</f>
        <v>900.48</v>
      </c>
      <c r="X10" s="197">
        <v>1.9E-2</v>
      </c>
      <c r="Y10" s="201">
        <v>8230.1</v>
      </c>
      <c r="Z10" s="184">
        <v>9.4700000000000006E-2</v>
      </c>
      <c r="AA10" s="196"/>
      <c r="AB10" s="186">
        <f>'Pricing Summary'!C52</f>
        <v>0.08</v>
      </c>
      <c r="AC10" s="45"/>
      <c r="AD10" s="45"/>
      <c r="AE10" s="45"/>
      <c r="AF10" s="195">
        <f t="shared" si="3"/>
        <v>3.3000000000000002E-2</v>
      </c>
      <c r="AG10" s="194"/>
      <c r="AH10" s="194"/>
      <c r="AI10" s="194"/>
      <c r="AJ10" s="184"/>
      <c r="AK10" s="184"/>
      <c r="AL10" s="184"/>
      <c r="AM10" s="184"/>
      <c r="AN10" s="184"/>
      <c r="AO10" s="184"/>
      <c r="AP10" s="184"/>
      <c r="AQ10" s="184"/>
      <c r="AR10" s="184"/>
      <c r="AS10" s="184"/>
      <c r="AT10" s="151"/>
    </row>
    <row r="11" spans="1:53" hidden="1" outlineLevel="1">
      <c r="E11" s="91"/>
      <c r="F11" s="45"/>
      <c r="G11" s="45"/>
      <c r="H11" s="45"/>
      <c r="I11" s="164"/>
      <c r="J11" s="174" t="str">
        <f>J$9</f>
        <v>IS</v>
      </c>
      <c r="K11" s="173" t="str">
        <f>K$9</f>
        <v>Contr</v>
      </c>
      <c r="L11" s="200" t="s">
        <v>156</v>
      </c>
      <c r="M11" s="199">
        <v>0</v>
      </c>
      <c r="N11" s="198">
        <v>1</v>
      </c>
      <c r="O11" s="188">
        <v>0</v>
      </c>
      <c r="P11" s="197">
        <v>0</v>
      </c>
      <c r="Q11" s="184">
        <v>0.31240000000000001</v>
      </c>
      <c r="R11" s="184">
        <v>0.1988</v>
      </c>
      <c r="S11" s="184"/>
      <c r="T11" s="184"/>
      <c r="U11" s="197">
        <v>0</v>
      </c>
      <c r="V11" s="197">
        <v>0</v>
      </c>
      <c r="W11" s="197">
        <v>0</v>
      </c>
      <c r="X11" s="197">
        <v>0</v>
      </c>
      <c r="Y11" s="197">
        <v>0</v>
      </c>
      <c r="Z11" s="184">
        <v>9.4700000000000006E-2</v>
      </c>
      <c r="AA11" s="196"/>
      <c r="AB11" s="186">
        <f t="shared" ref="AB11:AB20" si="4">AB10</f>
        <v>0.08</v>
      </c>
      <c r="AC11" s="45"/>
      <c r="AD11" s="45"/>
      <c r="AE11" s="45"/>
      <c r="AF11" s="195">
        <f t="shared" si="3"/>
        <v>0</v>
      </c>
      <c r="AG11" s="194"/>
      <c r="AH11" s="194"/>
      <c r="AI11" s="194"/>
      <c r="AJ11" s="184"/>
      <c r="AK11" s="184"/>
      <c r="AL11" s="184"/>
      <c r="AM11" s="184"/>
      <c r="AN11" s="184"/>
      <c r="AO11" s="184"/>
      <c r="AP11" s="184"/>
      <c r="AQ11" s="184"/>
      <c r="AR11" s="184"/>
      <c r="AS11" s="184"/>
      <c r="AT11" s="151"/>
    </row>
    <row r="12" spans="1:53" hidden="1" outlineLevel="1">
      <c r="E12" s="91"/>
      <c r="F12" s="45"/>
      <c r="G12" s="45"/>
      <c r="H12" s="45"/>
      <c r="I12" s="164"/>
      <c r="J12" s="174" t="str">
        <f>J$9</f>
        <v>IS</v>
      </c>
      <c r="K12" s="173" t="str">
        <f>K$10</f>
        <v>Govt</v>
      </c>
      <c r="L12" s="200" t="s">
        <v>155</v>
      </c>
      <c r="M12" s="199">
        <v>0</v>
      </c>
      <c r="N12" s="198">
        <v>1</v>
      </c>
      <c r="O12" s="197">
        <v>0</v>
      </c>
      <c r="P12" s="197">
        <v>0</v>
      </c>
      <c r="Q12" s="184">
        <v>0.31240000000000001</v>
      </c>
      <c r="R12" s="184">
        <v>2.23E-2</v>
      </c>
      <c r="S12" s="184"/>
      <c r="T12" s="184"/>
      <c r="U12" s="197">
        <v>0</v>
      </c>
      <c r="V12" s="197">
        <v>0</v>
      </c>
      <c r="W12" s="197">
        <v>0</v>
      </c>
      <c r="X12" s="197">
        <v>0</v>
      </c>
      <c r="Y12" s="197">
        <v>0</v>
      </c>
      <c r="Z12" s="184">
        <v>9.4700000000000006E-2</v>
      </c>
      <c r="AA12" s="196"/>
      <c r="AB12" s="186">
        <f t="shared" si="4"/>
        <v>0.08</v>
      </c>
      <c r="AC12" s="45"/>
      <c r="AD12" s="45"/>
      <c r="AE12" s="45"/>
      <c r="AF12" s="195">
        <f t="shared" si="3"/>
        <v>0</v>
      </c>
      <c r="AG12" s="194"/>
      <c r="AH12" s="194"/>
      <c r="AI12" s="194"/>
      <c r="AJ12" s="184"/>
      <c r="AK12" s="184"/>
      <c r="AL12" s="184"/>
      <c r="AM12" s="184"/>
      <c r="AN12" s="184"/>
      <c r="AO12" s="184"/>
      <c r="AP12" s="184"/>
      <c r="AQ12" s="184"/>
      <c r="AR12" s="184"/>
      <c r="AS12" s="184"/>
      <c r="AT12" s="151"/>
    </row>
    <row r="13" spans="1:53" hidden="1" outlineLevel="1">
      <c r="E13" s="91"/>
      <c r="F13" s="45"/>
      <c r="G13" s="45"/>
      <c r="H13" s="45"/>
      <c r="I13" s="164"/>
      <c r="J13" s="174" t="s">
        <v>263</v>
      </c>
      <c r="K13" s="173" t="str">
        <f>K$9</f>
        <v>Contr</v>
      </c>
      <c r="L13" s="200" t="s">
        <v>154</v>
      </c>
      <c r="M13" s="190">
        <v>3.3000000000000002E-2</v>
      </c>
      <c r="N13" s="189">
        <v>1.0247499999999998</v>
      </c>
      <c r="O13" s="188">
        <v>0</v>
      </c>
      <c r="P13" s="188">
        <v>0</v>
      </c>
      <c r="Q13" s="184">
        <v>0.35099999999999998</v>
      </c>
      <c r="R13" s="184">
        <v>0.17249999999999999</v>
      </c>
      <c r="S13" s="184"/>
      <c r="T13" s="184"/>
      <c r="U13" s="188">
        <v>0</v>
      </c>
      <c r="V13" s="188">
        <v>0</v>
      </c>
      <c r="W13" s="188">
        <v>0</v>
      </c>
      <c r="X13" s="188">
        <v>0</v>
      </c>
      <c r="Y13" s="188">
        <v>0</v>
      </c>
      <c r="Z13" s="184">
        <v>9.3100000000000002E-2</v>
      </c>
      <c r="AA13" s="196"/>
      <c r="AB13" s="186">
        <f t="shared" si="4"/>
        <v>0.08</v>
      </c>
      <c r="AC13" s="45"/>
      <c r="AD13" s="45"/>
      <c r="AE13" s="45"/>
      <c r="AF13" s="195">
        <f t="shared" si="3"/>
        <v>3.3000000000000002E-2</v>
      </c>
      <c r="AG13" s="194"/>
      <c r="AH13" s="194"/>
      <c r="AI13" s="194"/>
      <c r="AJ13" s="184"/>
      <c r="AK13" s="184"/>
      <c r="AL13" s="184"/>
      <c r="AM13" s="184"/>
      <c r="AN13" s="184"/>
      <c r="AO13" s="184"/>
      <c r="AP13" s="184"/>
      <c r="AQ13" s="184"/>
      <c r="AR13" s="184"/>
      <c r="AS13" s="184"/>
      <c r="AT13" s="151"/>
    </row>
    <row r="14" spans="1:53" hidden="1" outlineLevel="1">
      <c r="E14" s="91"/>
      <c r="F14" s="45"/>
      <c r="G14" s="45"/>
      <c r="H14" s="45"/>
      <c r="I14" s="164"/>
      <c r="J14" s="174" t="str">
        <f>J13</f>
        <v>ESD</v>
      </c>
      <c r="K14" s="173" t="str">
        <f>K$10</f>
        <v>Govt</v>
      </c>
      <c r="L14" s="200" t="s">
        <v>153</v>
      </c>
      <c r="M14" s="190">
        <v>3.3000000000000002E-2</v>
      </c>
      <c r="N14" s="189">
        <v>1.0247499999999998</v>
      </c>
      <c r="O14" s="197">
        <v>0</v>
      </c>
      <c r="P14" s="197">
        <v>0</v>
      </c>
      <c r="Q14" s="184">
        <v>0.35099999999999998</v>
      </c>
      <c r="R14" s="184">
        <v>3.1E-2</v>
      </c>
      <c r="S14" s="184"/>
      <c r="T14" s="184"/>
      <c r="U14" s="197">
        <v>0</v>
      </c>
      <c r="V14" s="197">
        <v>0</v>
      </c>
      <c r="W14" s="197">
        <v>0</v>
      </c>
      <c r="X14" s="197">
        <v>0</v>
      </c>
      <c r="Y14" s="197">
        <v>0</v>
      </c>
      <c r="Z14" s="184">
        <v>9.3100000000000002E-2</v>
      </c>
      <c r="AA14" s="196"/>
      <c r="AB14" s="186">
        <f t="shared" si="4"/>
        <v>0.08</v>
      </c>
      <c r="AC14" s="45"/>
      <c r="AD14" s="45"/>
      <c r="AE14" s="45"/>
      <c r="AF14" s="195">
        <f t="shared" si="3"/>
        <v>3.3000000000000002E-2</v>
      </c>
      <c r="AG14" s="194"/>
      <c r="AH14" s="194"/>
      <c r="AI14" s="194"/>
      <c r="AJ14" s="184"/>
      <c r="AK14" s="184"/>
      <c r="AL14" s="184"/>
      <c r="AM14" s="184"/>
      <c r="AN14" s="184"/>
      <c r="AO14" s="184"/>
      <c r="AP14" s="184"/>
      <c r="AQ14" s="184"/>
      <c r="AR14" s="184"/>
      <c r="AS14" s="184"/>
      <c r="AT14" s="151"/>
    </row>
    <row r="15" spans="1:53" hidden="1" outlineLevel="1">
      <c r="E15" s="91"/>
      <c r="F15" s="45"/>
      <c r="G15" s="45"/>
      <c r="H15" s="45"/>
      <c r="I15" s="164"/>
      <c r="J15" s="174" t="s">
        <v>263</v>
      </c>
      <c r="K15" s="173" t="str">
        <f>K$9</f>
        <v>Contr</v>
      </c>
      <c r="L15" s="200" t="s">
        <v>152</v>
      </c>
      <c r="M15" s="190">
        <v>3.3000000000000002E-2</v>
      </c>
      <c r="N15" s="189">
        <v>1.0247499999999998</v>
      </c>
      <c r="O15" s="188">
        <v>0</v>
      </c>
      <c r="P15" s="188">
        <v>0</v>
      </c>
      <c r="Q15" s="184">
        <v>0.35099999999999998</v>
      </c>
      <c r="R15" s="184">
        <v>0.17249999999999999</v>
      </c>
      <c r="S15" s="184"/>
      <c r="T15" s="184"/>
      <c r="U15" s="188">
        <v>0</v>
      </c>
      <c r="V15" s="188">
        <v>0</v>
      </c>
      <c r="W15" s="188">
        <v>0</v>
      </c>
      <c r="X15" s="188">
        <v>0</v>
      </c>
      <c r="Y15" s="188">
        <v>0</v>
      </c>
      <c r="Z15" s="184">
        <v>9.3100000000000002E-2</v>
      </c>
      <c r="AA15" s="196"/>
      <c r="AB15" s="186">
        <f t="shared" si="4"/>
        <v>0.08</v>
      </c>
      <c r="AC15" s="45"/>
      <c r="AD15" s="45"/>
      <c r="AE15" s="45"/>
      <c r="AF15" s="195">
        <f t="shared" si="3"/>
        <v>3.3000000000000002E-2</v>
      </c>
      <c r="AG15" s="194"/>
      <c r="AH15" s="194"/>
      <c r="AI15" s="194"/>
      <c r="AJ15" s="184"/>
      <c r="AK15" s="184"/>
      <c r="AL15" s="184"/>
      <c r="AM15" s="184"/>
      <c r="AN15" s="184"/>
      <c r="AO15" s="184"/>
      <c r="AP15" s="184"/>
      <c r="AQ15" s="184"/>
      <c r="AR15" s="184"/>
      <c r="AS15" s="184"/>
      <c r="AT15" s="151"/>
    </row>
    <row r="16" spans="1:53" hidden="1" outlineLevel="1">
      <c r="E16" s="91"/>
      <c r="F16" s="45"/>
      <c r="G16" s="45"/>
      <c r="H16" s="45"/>
      <c r="I16" s="164"/>
      <c r="J16" s="174" t="str">
        <f>J15</f>
        <v>ESD</v>
      </c>
      <c r="K16" s="173" t="str">
        <f>K$10</f>
        <v>Govt</v>
      </c>
      <c r="L16" s="200" t="s">
        <v>151</v>
      </c>
      <c r="M16" s="190">
        <v>3.3000000000000002E-2</v>
      </c>
      <c r="N16" s="189">
        <v>1.0247499999999998</v>
      </c>
      <c r="O16" s="197">
        <v>0</v>
      </c>
      <c r="P16" s="197">
        <v>0</v>
      </c>
      <c r="Q16" s="184">
        <v>0.35099999999999998</v>
      </c>
      <c r="R16" s="184">
        <v>3.1E-2</v>
      </c>
      <c r="S16" s="184"/>
      <c r="T16" s="184"/>
      <c r="U16" s="197">
        <v>0</v>
      </c>
      <c r="V16" s="197">
        <v>0</v>
      </c>
      <c r="W16" s="197">
        <v>0</v>
      </c>
      <c r="X16" s="197">
        <v>0</v>
      </c>
      <c r="Y16" s="197">
        <v>0</v>
      </c>
      <c r="Z16" s="184">
        <v>9.3100000000000002E-2</v>
      </c>
      <c r="AA16" s="196"/>
      <c r="AB16" s="186">
        <f t="shared" si="4"/>
        <v>0.08</v>
      </c>
      <c r="AC16" s="45"/>
      <c r="AD16" s="45"/>
      <c r="AE16" s="45"/>
      <c r="AF16" s="195">
        <f t="shared" si="3"/>
        <v>3.3000000000000002E-2</v>
      </c>
      <c r="AG16" s="194"/>
      <c r="AH16" s="194"/>
      <c r="AI16" s="194"/>
      <c r="AJ16" s="184"/>
      <c r="AK16" s="184"/>
      <c r="AL16" s="184"/>
      <c r="AM16" s="184"/>
      <c r="AN16" s="184"/>
      <c r="AO16" s="184"/>
      <c r="AP16" s="184"/>
      <c r="AQ16" s="184"/>
      <c r="AR16" s="184"/>
      <c r="AS16" s="184"/>
      <c r="AT16" s="151"/>
    </row>
    <row r="17" spans="4:53" hidden="1" outlineLevel="1">
      <c r="E17" s="91"/>
      <c r="F17" s="45"/>
      <c r="G17" s="45"/>
      <c r="H17" s="45"/>
      <c r="I17" s="164"/>
      <c r="J17" s="174" t="str">
        <f>J$9</f>
        <v>IS</v>
      </c>
      <c r="K17" s="173" t="str">
        <f>K$9</f>
        <v>Contr</v>
      </c>
      <c r="L17" s="200" t="s">
        <v>150</v>
      </c>
      <c r="M17" s="190">
        <v>3.3000000000000002E-2</v>
      </c>
      <c r="N17" s="189">
        <v>1.0247499999999998</v>
      </c>
      <c r="O17" s="197">
        <v>0.5</v>
      </c>
      <c r="P17" s="197">
        <v>0</v>
      </c>
      <c r="Q17" s="184">
        <v>0.31240000000000001</v>
      </c>
      <c r="R17" s="184">
        <v>0.1988</v>
      </c>
      <c r="S17" s="184"/>
      <c r="T17" s="184"/>
      <c r="U17" s="197">
        <v>0</v>
      </c>
      <c r="V17" s="197">
        <v>0</v>
      </c>
      <c r="W17" s="197">
        <v>0</v>
      </c>
      <c r="X17" s="197">
        <v>0</v>
      </c>
      <c r="Y17" s="197">
        <v>0</v>
      </c>
      <c r="Z17" s="184">
        <v>9.4700000000000006E-2</v>
      </c>
      <c r="AA17" s="196"/>
      <c r="AB17" s="186">
        <f t="shared" si="4"/>
        <v>0.08</v>
      </c>
      <c r="AC17" s="45"/>
      <c r="AD17" s="45"/>
      <c r="AE17" s="45"/>
      <c r="AF17" s="195">
        <f t="shared" si="3"/>
        <v>3.3000000000000002E-2</v>
      </c>
      <c r="AG17" s="194"/>
      <c r="AH17" s="194"/>
      <c r="AI17" s="194"/>
      <c r="AJ17" s="184"/>
      <c r="AK17" s="184"/>
      <c r="AL17" s="184"/>
      <c r="AM17" s="184"/>
      <c r="AN17" s="184"/>
      <c r="AO17" s="184"/>
      <c r="AP17" s="184"/>
      <c r="AQ17" s="184"/>
      <c r="AR17" s="184"/>
      <c r="AS17" s="184"/>
      <c r="AT17" s="151"/>
    </row>
    <row r="18" spans="4:53" hidden="1" outlineLevel="1">
      <c r="E18" s="91"/>
      <c r="F18" s="45"/>
      <c r="G18" s="45"/>
      <c r="H18" s="45"/>
      <c r="I18" s="164"/>
      <c r="J18" s="174" t="str">
        <f t="shared" ref="J18:J24" si="5">J$9</f>
        <v>IS</v>
      </c>
      <c r="K18" s="173" t="str">
        <f>K$10</f>
        <v>Govt</v>
      </c>
      <c r="L18" s="200" t="s">
        <v>149</v>
      </c>
      <c r="M18" s="190">
        <v>3.3000000000000002E-2</v>
      </c>
      <c r="N18" s="189">
        <v>1.0247499999999998</v>
      </c>
      <c r="O18" s="197">
        <v>0.5</v>
      </c>
      <c r="P18" s="197">
        <v>0</v>
      </c>
      <c r="Q18" s="184">
        <v>0.31240000000000001</v>
      </c>
      <c r="R18" s="184">
        <v>2.23E-2</v>
      </c>
      <c r="S18" s="184"/>
      <c r="T18" s="184"/>
      <c r="U18" s="197">
        <v>0</v>
      </c>
      <c r="V18" s="197">
        <v>0</v>
      </c>
      <c r="W18" s="197">
        <v>0</v>
      </c>
      <c r="X18" s="197">
        <v>0</v>
      </c>
      <c r="Y18" s="197">
        <v>0</v>
      </c>
      <c r="Z18" s="184">
        <v>9.4700000000000006E-2</v>
      </c>
      <c r="AA18" s="196"/>
      <c r="AB18" s="186">
        <f t="shared" si="4"/>
        <v>0.08</v>
      </c>
      <c r="AC18" s="45"/>
      <c r="AD18" s="45"/>
      <c r="AE18" s="45"/>
      <c r="AF18" s="195">
        <f t="shared" si="3"/>
        <v>3.3000000000000002E-2</v>
      </c>
      <c r="AG18" s="194"/>
      <c r="AH18" s="194"/>
      <c r="AI18" s="194"/>
      <c r="AJ18" s="184"/>
      <c r="AK18" s="184"/>
      <c r="AL18" s="184"/>
      <c r="AM18" s="184"/>
      <c r="AN18" s="184"/>
      <c r="AO18" s="184"/>
      <c r="AP18" s="184"/>
      <c r="AQ18" s="184"/>
      <c r="AR18" s="184"/>
      <c r="AS18" s="184"/>
      <c r="AT18" s="151"/>
    </row>
    <row r="19" spans="4:53" hidden="1" outlineLevel="1">
      <c r="E19" s="91"/>
      <c r="F19" s="45"/>
      <c r="G19" s="45"/>
      <c r="H19" s="45"/>
      <c r="I19" s="164"/>
      <c r="J19" s="174" t="str">
        <f t="shared" si="5"/>
        <v>IS</v>
      </c>
      <c r="K19" s="173" t="str">
        <f>K$9</f>
        <v>Contr</v>
      </c>
      <c r="L19" s="200" t="s">
        <v>148</v>
      </c>
      <c r="M19" s="199">
        <v>0</v>
      </c>
      <c r="N19" s="198">
        <v>1</v>
      </c>
      <c r="O19" s="188">
        <v>0.5</v>
      </c>
      <c r="P19" s="188">
        <v>0</v>
      </c>
      <c r="Q19" s="184">
        <v>0.31240000000000001</v>
      </c>
      <c r="R19" s="184">
        <v>0.1988</v>
      </c>
      <c r="S19" s="184"/>
      <c r="T19" s="184"/>
      <c r="U19" s="188">
        <v>0</v>
      </c>
      <c r="V19" s="188">
        <v>0</v>
      </c>
      <c r="W19" s="188">
        <v>0</v>
      </c>
      <c r="X19" s="188">
        <v>0</v>
      </c>
      <c r="Y19" s="188">
        <v>0</v>
      </c>
      <c r="Z19" s="184">
        <v>9.4700000000000006E-2</v>
      </c>
      <c r="AA19" s="196"/>
      <c r="AB19" s="186">
        <f t="shared" si="4"/>
        <v>0.08</v>
      </c>
      <c r="AC19" s="45"/>
      <c r="AD19" s="45"/>
      <c r="AE19" s="45"/>
      <c r="AF19" s="195">
        <f t="shared" si="3"/>
        <v>0</v>
      </c>
      <c r="AG19" s="194"/>
      <c r="AH19" s="194"/>
      <c r="AI19" s="194"/>
      <c r="AJ19" s="184"/>
      <c r="AK19" s="184"/>
      <c r="AL19" s="184"/>
      <c r="AM19" s="184"/>
      <c r="AN19" s="184"/>
      <c r="AO19" s="184"/>
      <c r="AP19" s="184"/>
      <c r="AQ19" s="184"/>
      <c r="AR19" s="184"/>
      <c r="AS19" s="184"/>
      <c r="AT19" s="151"/>
    </row>
    <row r="20" spans="4:53" hidden="1" outlineLevel="1">
      <c r="E20" s="91"/>
      <c r="F20" s="45"/>
      <c r="G20" s="45"/>
      <c r="H20" s="45"/>
      <c r="I20" s="164"/>
      <c r="J20" s="174" t="str">
        <f t="shared" si="5"/>
        <v>IS</v>
      </c>
      <c r="K20" s="173" t="str">
        <f>K$10</f>
        <v>Govt</v>
      </c>
      <c r="L20" s="200" t="s">
        <v>147</v>
      </c>
      <c r="M20" s="199">
        <v>0</v>
      </c>
      <c r="N20" s="198">
        <v>1</v>
      </c>
      <c r="O20" s="197">
        <v>0.5</v>
      </c>
      <c r="P20" s="197">
        <v>0</v>
      </c>
      <c r="Q20" s="184">
        <v>0.31240000000000001</v>
      </c>
      <c r="R20" s="184">
        <v>2.23E-2</v>
      </c>
      <c r="S20" s="184"/>
      <c r="T20" s="184"/>
      <c r="U20" s="197">
        <v>0</v>
      </c>
      <c r="V20" s="197">
        <v>0</v>
      </c>
      <c r="W20" s="197">
        <v>0</v>
      </c>
      <c r="X20" s="197">
        <v>0</v>
      </c>
      <c r="Y20" s="197">
        <v>0</v>
      </c>
      <c r="Z20" s="184">
        <v>9.4700000000000006E-2</v>
      </c>
      <c r="AA20" s="196"/>
      <c r="AB20" s="186">
        <f t="shared" si="4"/>
        <v>0.08</v>
      </c>
      <c r="AC20" s="45"/>
      <c r="AD20" s="45"/>
      <c r="AE20" s="45"/>
      <c r="AF20" s="195">
        <f t="shared" si="3"/>
        <v>0</v>
      </c>
      <c r="AG20" s="194"/>
      <c r="AH20" s="194"/>
      <c r="AI20" s="194"/>
      <c r="AJ20" s="184"/>
      <c r="AK20" s="184"/>
      <c r="AL20" s="184"/>
      <c r="AM20" s="184"/>
      <c r="AN20" s="184"/>
      <c r="AO20" s="184"/>
      <c r="AP20" s="184"/>
      <c r="AQ20" s="184"/>
      <c r="AR20" s="184"/>
      <c r="AS20" s="184"/>
      <c r="AT20" s="151"/>
    </row>
    <row r="21" spans="4:53" collapsed="1">
      <c r="E21" s="91"/>
      <c r="F21" s="45"/>
      <c r="G21" s="45"/>
      <c r="H21" s="45"/>
      <c r="I21" s="164"/>
      <c r="J21" s="193" t="str">
        <f t="shared" si="5"/>
        <v>IS</v>
      </c>
      <c r="K21" s="192" t="s">
        <v>261</v>
      </c>
      <c r="L21" s="191" t="s">
        <v>119</v>
      </c>
      <c r="M21" s="190">
        <v>0</v>
      </c>
      <c r="N21" s="189">
        <v>1</v>
      </c>
      <c r="O21" s="188">
        <v>0</v>
      </c>
      <c r="P21" s="188">
        <v>0</v>
      </c>
      <c r="Q21" s="184"/>
      <c r="R21" s="184">
        <v>3.0700000000000002E-2</v>
      </c>
      <c r="S21" s="184"/>
      <c r="T21" s="184"/>
      <c r="U21" s="188">
        <v>0</v>
      </c>
      <c r="V21" s="188">
        <v>0</v>
      </c>
      <c r="W21" s="188">
        <v>0</v>
      </c>
      <c r="X21" s="188">
        <v>0</v>
      </c>
      <c r="Y21" s="188">
        <v>0</v>
      </c>
      <c r="Z21" s="184">
        <v>9.4700000000000006E-2</v>
      </c>
      <c r="AA21" s="187"/>
      <c r="AB21" s="186">
        <f>'Pricing Summary'!C53</f>
        <v>0.08</v>
      </c>
      <c r="AC21" s="45"/>
      <c r="AD21" s="45"/>
      <c r="AE21" s="45"/>
      <c r="AF21" s="155">
        <f t="shared" si="3"/>
        <v>0</v>
      </c>
      <c r="AG21" s="185"/>
      <c r="AH21" s="185"/>
      <c r="AI21" s="185"/>
      <c r="AJ21" s="184"/>
      <c r="AK21" s="184"/>
      <c r="AL21" s="184"/>
      <c r="AM21" s="184"/>
      <c r="AN21" s="184"/>
      <c r="AO21" s="184"/>
      <c r="AP21" s="184"/>
      <c r="AQ21" s="184"/>
      <c r="AR21" s="184"/>
      <c r="AS21" s="184"/>
      <c r="AT21" s="151"/>
    </row>
    <row r="22" spans="4:53" hidden="1">
      <c r="E22" s="91"/>
      <c r="F22" s="45"/>
      <c r="G22" s="45"/>
      <c r="H22" s="45"/>
      <c r="I22" s="164"/>
      <c r="J22" s="174" t="str">
        <f t="shared" si="5"/>
        <v>IS</v>
      </c>
      <c r="K22" s="173" t="str">
        <f>K21</f>
        <v>Contr/Govt</v>
      </c>
      <c r="L22" s="183" t="s">
        <v>146</v>
      </c>
      <c r="M22" s="182">
        <v>0</v>
      </c>
      <c r="N22" s="181">
        <f>N21</f>
        <v>1</v>
      </c>
      <c r="O22" s="180">
        <v>0</v>
      </c>
      <c r="P22" s="180">
        <v>0</v>
      </c>
      <c r="Q22" s="176"/>
      <c r="R22" s="175">
        <v>3.0700000000000002E-2</v>
      </c>
      <c r="S22" s="175"/>
      <c r="T22" s="175"/>
      <c r="U22" s="180">
        <v>0</v>
      </c>
      <c r="V22" s="180">
        <v>0</v>
      </c>
      <c r="W22" s="180">
        <v>0</v>
      </c>
      <c r="X22" s="180">
        <v>0</v>
      </c>
      <c r="Y22" s="180">
        <v>0</v>
      </c>
      <c r="Z22" s="175">
        <v>9.4700000000000006E-2</v>
      </c>
      <c r="AA22" s="179"/>
      <c r="AB22" s="178">
        <f>AB21</f>
        <v>0.08</v>
      </c>
      <c r="AC22" s="45"/>
      <c r="AD22" s="45"/>
      <c r="AE22" s="45"/>
      <c r="AF22" s="155">
        <f t="shared" si="3"/>
        <v>0</v>
      </c>
      <c r="AG22" s="177"/>
      <c r="AH22" s="177"/>
      <c r="AI22" s="177"/>
      <c r="AJ22" s="176"/>
      <c r="AK22" s="175"/>
      <c r="AL22" s="175"/>
      <c r="AM22" s="175"/>
      <c r="AN22" s="175"/>
      <c r="AO22" s="175"/>
      <c r="AP22" s="175"/>
      <c r="AQ22" s="175"/>
      <c r="AR22" s="175"/>
      <c r="AS22" s="175"/>
      <c r="AT22" s="151"/>
    </row>
    <row r="23" spans="4:53" hidden="1">
      <c r="E23" s="91"/>
      <c r="F23" s="45"/>
      <c r="G23" s="45"/>
      <c r="H23" s="45"/>
      <c r="I23" s="164"/>
      <c r="J23" s="174" t="str">
        <f t="shared" si="5"/>
        <v>IS</v>
      </c>
      <c r="K23" s="173" t="str">
        <f>K22</f>
        <v>Contr/Govt</v>
      </c>
      <c r="L23" s="172" t="s">
        <v>145</v>
      </c>
      <c r="M23" s="171">
        <v>0</v>
      </c>
      <c r="N23" s="170">
        <v>1</v>
      </c>
      <c r="O23" s="169">
        <v>0</v>
      </c>
      <c r="P23" s="169">
        <v>0</v>
      </c>
      <c r="Q23" s="165"/>
      <c r="R23" s="165">
        <v>3.0700000000000002E-2</v>
      </c>
      <c r="S23" s="165"/>
      <c r="T23" s="165"/>
      <c r="U23" s="169">
        <v>0</v>
      </c>
      <c r="V23" s="169">
        <v>0</v>
      </c>
      <c r="W23" s="169">
        <v>0</v>
      </c>
      <c r="X23" s="169">
        <v>0</v>
      </c>
      <c r="Y23" s="169">
        <v>0</v>
      </c>
      <c r="Z23" s="165">
        <v>9.4700000000000006E-2</v>
      </c>
      <c r="AA23" s="168"/>
      <c r="AB23" s="167">
        <v>0</v>
      </c>
      <c r="AC23" s="45"/>
      <c r="AD23" s="45"/>
      <c r="AE23" s="45"/>
      <c r="AF23" s="155">
        <f t="shared" si="3"/>
        <v>0</v>
      </c>
      <c r="AG23" s="166"/>
      <c r="AH23" s="166"/>
      <c r="AI23" s="166"/>
      <c r="AJ23" s="165"/>
      <c r="AK23" s="165"/>
      <c r="AL23" s="165"/>
      <c r="AM23" s="165"/>
      <c r="AN23" s="165"/>
      <c r="AO23" s="165"/>
      <c r="AP23" s="165"/>
      <c r="AQ23" s="165"/>
      <c r="AR23" s="165"/>
      <c r="AS23" s="165"/>
      <c r="AT23" s="151"/>
    </row>
    <row r="24" spans="4:53">
      <c r="E24" s="91"/>
      <c r="F24" s="45"/>
      <c r="G24" s="45"/>
      <c r="H24" s="45"/>
      <c r="I24" s="164"/>
      <c r="J24" s="163" t="str">
        <f t="shared" si="5"/>
        <v>IS</v>
      </c>
      <c r="K24" s="162" t="str">
        <f>K23</f>
        <v>Contr/Govt</v>
      </c>
      <c r="L24" s="161" t="s">
        <v>110</v>
      </c>
      <c r="M24" s="160">
        <v>0</v>
      </c>
      <c r="N24" s="159">
        <v>1</v>
      </c>
      <c r="O24" s="158">
        <v>0</v>
      </c>
      <c r="P24" s="158">
        <v>0</v>
      </c>
      <c r="Q24" s="153"/>
      <c r="R24" s="152">
        <f>IF(OR($J$24="MBI - FT",$J$24="MBI - PT"),R23,0)</f>
        <v>0</v>
      </c>
      <c r="S24" s="152"/>
      <c r="T24" s="152"/>
      <c r="U24" s="158">
        <v>0</v>
      </c>
      <c r="V24" s="158">
        <v>0</v>
      </c>
      <c r="W24" s="158">
        <v>0</v>
      </c>
      <c r="X24" s="158">
        <v>0</v>
      </c>
      <c r="Y24" s="158">
        <v>0</v>
      </c>
      <c r="Z24" s="152">
        <v>9.4700000000000006E-2</v>
      </c>
      <c r="AA24" s="157"/>
      <c r="AB24" s="156">
        <f>'Pricing Summary'!C54</f>
        <v>0.08</v>
      </c>
      <c r="AC24" s="45"/>
      <c r="AD24" s="45"/>
      <c r="AE24" s="45"/>
      <c r="AF24" s="155">
        <f t="shared" si="3"/>
        <v>0</v>
      </c>
      <c r="AG24" s="154"/>
      <c r="AH24" s="154"/>
      <c r="AI24" s="154"/>
      <c r="AJ24" s="153"/>
      <c r="AK24" s="152"/>
      <c r="AL24" s="152"/>
      <c r="AM24" s="152"/>
      <c r="AN24" s="152"/>
      <c r="AO24" s="152"/>
      <c r="AP24" s="152"/>
      <c r="AQ24" s="152"/>
      <c r="AR24" s="152"/>
      <c r="AS24" s="152"/>
      <c r="AT24" s="151"/>
    </row>
    <row r="25" spans="4:53">
      <c r="E25" s="91"/>
      <c r="F25" s="45"/>
      <c r="G25" s="45"/>
      <c r="H25" s="45"/>
      <c r="I25" s="45"/>
      <c r="J25" s="85"/>
      <c r="K25" s="85"/>
      <c r="L25" s="85"/>
      <c r="M25" s="85"/>
      <c r="N25" s="85"/>
      <c r="O25" s="85"/>
      <c r="P25" s="85"/>
      <c r="Q25" s="85"/>
      <c r="R25" s="85"/>
      <c r="S25" s="85"/>
      <c r="T25" s="85"/>
      <c r="U25" s="85"/>
      <c r="V25" s="85"/>
      <c r="W25" s="85"/>
      <c r="X25" s="85"/>
      <c r="Y25" s="85"/>
      <c r="Z25" s="85"/>
      <c r="AA25" s="85"/>
      <c r="AB25" s="85"/>
      <c r="AC25" s="45"/>
      <c r="AD25" s="45"/>
      <c r="AE25" s="45"/>
      <c r="AF25" s="90" t="s">
        <v>144</v>
      </c>
      <c r="AG25" s="45"/>
      <c r="AH25" s="45"/>
      <c r="AI25" s="45"/>
      <c r="AJ25" s="45"/>
      <c r="AK25" s="45"/>
      <c r="AL25" s="45"/>
      <c r="AM25" s="45"/>
      <c r="AN25" s="45"/>
      <c r="AO25" s="45"/>
      <c r="AP25" s="45"/>
      <c r="AQ25" s="45"/>
      <c r="AR25" s="45"/>
      <c r="AS25" s="45"/>
      <c r="AT25" s="45"/>
      <c r="AZ25" s="145"/>
      <c r="BA25" s="145"/>
    </row>
    <row r="26" spans="4:53" hidden="1" outlineLevel="1">
      <c r="E26" s="91"/>
      <c r="F26" s="45"/>
      <c r="G26" s="45"/>
      <c r="H26" s="45"/>
      <c r="I26" s="45"/>
      <c r="J26" s="45"/>
      <c r="K26" s="45"/>
      <c r="L26" s="45"/>
      <c r="M26" s="150"/>
      <c r="N26" s="149" t="str">
        <f>M$28&amp;"*"&amp;N$5</f>
        <v>A*B%</v>
      </c>
      <c r="O26" s="149"/>
      <c r="P26" s="149"/>
      <c r="Q26" s="149" t="str">
        <f>N$28&amp;"*"&amp;Q$5</f>
        <v>B*C%</v>
      </c>
      <c r="R26" s="149" t="str">
        <f>"("&amp;N28&amp;"+"&amp;Q$28&amp;")"&amp;"*"&amp;R$5</f>
        <v>(B+C)*D%</v>
      </c>
      <c r="S26" s="149"/>
      <c r="T26" s="149"/>
      <c r="U26" s="149"/>
      <c r="V26" s="149"/>
      <c r="W26" s="149"/>
      <c r="X26" s="149"/>
      <c r="Y26" s="149"/>
      <c r="Z26" s="149" t="str">
        <f>"("&amp;N28&amp;"+"&amp;Q28&amp;"+"&amp;R$28&amp;")"&amp;"*"&amp;Z$5</f>
        <v>(B+C+D)*E%</v>
      </c>
      <c r="AA26" s="149" t="s">
        <v>143</v>
      </c>
      <c r="AB26" s="149" t="str">
        <f>"("&amp;N28&amp;"+"&amp;Q28&amp;"+"&amp;R$28&amp;"+"&amp;Z$28&amp;")"&amp;"*"&amp;AB$5</f>
        <v>(B+C+D+E)*G%</v>
      </c>
      <c r="AC26" s="45"/>
      <c r="AD26" s="45"/>
      <c r="AE26" s="45"/>
      <c r="AF26" s="90"/>
    </row>
    <row r="27" spans="4:53" ht="8.25" hidden="1" customHeight="1" outlineLevel="1">
      <c r="E27" s="91"/>
      <c r="F27" s="45"/>
      <c r="G27" s="45"/>
      <c r="H27" s="45"/>
      <c r="I27" s="45"/>
      <c r="J27" s="45"/>
      <c r="K27" s="45"/>
      <c r="L27" s="45"/>
      <c r="M27" s="148"/>
      <c r="N27" s="147"/>
      <c r="O27" s="147"/>
      <c r="P27" s="147"/>
      <c r="Q27" s="147"/>
      <c r="R27" s="147"/>
      <c r="S27" s="147"/>
      <c r="T27" s="147"/>
      <c r="U27" s="147"/>
      <c r="V27" s="147"/>
      <c r="W27" s="147"/>
      <c r="X27" s="147"/>
      <c r="Y27" s="147"/>
      <c r="Z27" s="147"/>
      <c r="AA27" s="147"/>
      <c r="AB27" s="147"/>
      <c r="AC27" s="45"/>
      <c r="AD27" s="45"/>
      <c r="AE27" s="45"/>
      <c r="AF27" s="90"/>
    </row>
    <row r="28" spans="4:53" hidden="1" outlineLevel="1">
      <c r="E28" s="91"/>
      <c r="F28" s="45"/>
      <c r="G28" s="45"/>
      <c r="H28" s="45"/>
      <c r="I28" s="45"/>
      <c r="J28" s="45"/>
      <c r="K28" s="45"/>
      <c r="L28" s="45"/>
      <c r="M28" s="146" t="s">
        <v>142</v>
      </c>
      <c r="N28" s="146" t="s">
        <v>141</v>
      </c>
      <c r="O28" s="146"/>
      <c r="P28" s="146"/>
      <c r="Q28" s="146" t="s">
        <v>140</v>
      </c>
      <c r="R28" s="146" t="s">
        <v>139</v>
      </c>
      <c r="S28" s="146"/>
      <c r="T28" s="146"/>
      <c r="U28" s="146"/>
      <c r="V28" s="146"/>
      <c r="W28" s="146"/>
      <c r="X28" s="146"/>
      <c r="Y28" s="146"/>
      <c r="Z28" s="146" t="s">
        <v>138</v>
      </c>
      <c r="AA28" s="146" t="s">
        <v>137</v>
      </c>
      <c r="AB28" s="146" t="s">
        <v>136</v>
      </c>
      <c r="AC28" s="45"/>
      <c r="AD28" s="45"/>
      <c r="AE28" s="45"/>
      <c r="AF28" s="90"/>
    </row>
    <row r="29" spans="4:53" collapsed="1">
      <c r="E29" s="91"/>
      <c r="F29" s="45"/>
      <c r="G29" s="45"/>
      <c r="H29" s="45"/>
      <c r="I29" s="45"/>
      <c r="J29" s="45"/>
      <c r="K29" s="45"/>
      <c r="L29" s="45"/>
      <c r="M29" s="45"/>
      <c r="N29" s="45"/>
      <c r="O29" s="45"/>
      <c r="P29" s="45"/>
      <c r="Q29" s="45"/>
      <c r="R29" s="45"/>
      <c r="S29" s="45"/>
      <c r="T29" s="45"/>
      <c r="U29" s="45"/>
      <c r="V29" s="45"/>
      <c r="W29" s="45"/>
      <c r="X29" s="45"/>
      <c r="Y29" s="45"/>
      <c r="Z29" s="45"/>
      <c r="AA29" s="97"/>
      <c r="AB29" s="45"/>
      <c r="AC29" s="45"/>
      <c r="AD29" s="45"/>
      <c r="AE29" s="45"/>
      <c r="AF29" s="90">
        <v>12</v>
      </c>
      <c r="AT29" s="140"/>
      <c r="AU29" s="139"/>
      <c r="AV29" s="140"/>
      <c r="AW29" s="139"/>
      <c r="AZ29" s="145" t="s">
        <v>135</v>
      </c>
      <c r="BA29" s="145" t="s">
        <v>134</v>
      </c>
    </row>
    <row r="30" spans="4:53" ht="13.5" thickBot="1">
      <c r="E30" s="144" t="s">
        <v>133</v>
      </c>
      <c r="F30" s="142"/>
      <c r="G30" s="142" t="s">
        <v>106</v>
      </c>
      <c r="H30" s="45"/>
      <c r="I30" s="142" t="s">
        <v>132</v>
      </c>
      <c r="J30" s="143" t="s">
        <v>131</v>
      </c>
      <c r="K30" s="143" t="s">
        <v>131</v>
      </c>
      <c r="L30" s="142" t="str">
        <f>L8</f>
        <v>Burden Code</v>
      </c>
      <c r="M30" s="139" t="s">
        <v>130</v>
      </c>
      <c r="N30" s="139" t="s">
        <v>129</v>
      </c>
      <c r="O30" s="139" t="str">
        <f>O8</f>
        <v>Hazard</v>
      </c>
      <c r="P30" s="139" t="str">
        <f>P8</f>
        <v>Harship</v>
      </c>
      <c r="Q30" s="139" t="str">
        <f>Q8</f>
        <v>PRB</v>
      </c>
      <c r="R30" s="139" t="str">
        <f>R8</f>
        <v>Overhead</v>
      </c>
      <c r="S30" s="139"/>
      <c r="T30" s="139"/>
      <c r="U30" s="139" t="str">
        <f t="shared" ref="U30:AB30" si="6">U8</f>
        <v>Finders Fee</v>
      </c>
      <c r="V30" s="139" t="str">
        <f t="shared" si="6"/>
        <v>Comp. Bonus</v>
      </c>
      <c r="W30" s="139" t="str">
        <f t="shared" si="6"/>
        <v>War Risk Ins.</v>
      </c>
      <c r="X30" s="139" t="str">
        <f t="shared" si="6"/>
        <v>DBA Ins.</v>
      </c>
      <c r="Y30" s="139" t="str">
        <f t="shared" si="6"/>
        <v>Travel</v>
      </c>
      <c r="Z30" s="139" t="str">
        <f t="shared" si="6"/>
        <v>G&amp;A</v>
      </c>
      <c r="AA30" s="139" t="str">
        <f t="shared" si="6"/>
        <v>Cost</v>
      </c>
      <c r="AB30" s="139" t="str">
        <f t="shared" si="6"/>
        <v>Profit / Fee</v>
      </c>
      <c r="AC30" s="139" t="s">
        <v>128</v>
      </c>
      <c r="AD30" s="139" t="s">
        <v>127</v>
      </c>
      <c r="AE30" s="139" t="s">
        <v>100</v>
      </c>
      <c r="AF30" s="141" t="s">
        <v>126</v>
      </c>
      <c r="AG30" s="140"/>
      <c r="AH30" s="140"/>
      <c r="AI30" s="140"/>
      <c r="AJ30" s="140"/>
      <c r="AK30" s="140"/>
      <c r="AL30" s="140"/>
      <c r="AM30" s="140"/>
      <c r="AN30" s="140"/>
      <c r="AO30" s="140"/>
      <c r="AP30" s="140"/>
      <c r="AQ30" s="140"/>
      <c r="AR30" s="140"/>
      <c r="AS30" s="140"/>
      <c r="AT30" s="140"/>
      <c r="AU30" s="139"/>
      <c r="AV30" s="140"/>
      <c r="AW30" s="139"/>
      <c r="AZ30" s="46">
        <v>1</v>
      </c>
      <c r="BA30" s="46">
        <v>1</v>
      </c>
    </row>
    <row r="31" spans="4:53" s="114" customFormat="1" ht="16.5" thickBot="1">
      <c r="E31" s="122" t="s">
        <v>125</v>
      </c>
      <c r="F31" s="119"/>
      <c r="G31" s="119"/>
      <c r="H31" s="121"/>
      <c r="I31" s="119"/>
      <c r="J31" s="120"/>
      <c r="K31" s="120"/>
      <c r="L31" s="119"/>
      <c r="M31" s="118"/>
      <c r="N31" s="118"/>
      <c r="O31" s="118"/>
      <c r="P31" s="118"/>
      <c r="Q31" s="118"/>
      <c r="R31" s="118"/>
      <c r="S31" s="118"/>
      <c r="T31" s="118"/>
      <c r="U31" s="118"/>
      <c r="V31" s="118"/>
      <c r="W31" s="118"/>
      <c r="X31" s="118"/>
      <c r="Y31" s="118"/>
      <c r="Z31" s="118"/>
      <c r="AA31" s="118"/>
      <c r="AB31" s="118"/>
      <c r="AC31" s="118"/>
      <c r="AD31" s="118"/>
      <c r="AE31" s="118"/>
      <c r="AF31" s="138"/>
      <c r="AG31" s="116"/>
      <c r="AH31" s="116"/>
      <c r="AI31" s="116" t="s">
        <v>124</v>
      </c>
      <c r="AJ31" s="116" t="s">
        <v>123</v>
      </c>
      <c r="AK31" s="116" t="s">
        <v>122</v>
      </c>
      <c r="AL31" s="116"/>
      <c r="AM31" s="116"/>
      <c r="AN31" s="116"/>
      <c r="AO31" s="116"/>
      <c r="AP31" s="116" t="s">
        <v>121</v>
      </c>
      <c r="AQ31" s="116"/>
      <c r="AR31" s="116"/>
      <c r="AS31" s="116"/>
      <c r="AT31" s="116"/>
      <c r="AU31" s="116"/>
      <c r="AV31" s="116"/>
      <c r="AW31" s="115"/>
      <c r="AZ31" s="46">
        <v>1</v>
      </c>
      <c r="BA31" s="46">
        <v>1</v>
      </c>
    </row>
    <row r="32" spans="4:53">
      <c r="D32" s="45">
        <v>1</v>
      </c>
      <c r="E32" s="137" t="s">
        <v>230</v>
      </c>
      <c r="F32" s="45"/>
      <c r="G32" s="105" t="s">
        <v>99</v>
      </c>
      <c r="H32" s="45"/>
      <c r="I32" s="136">
        <v>0</v>
      </c>
      <c r="J32" s="135" t="str">
        <f t="shared" ref="J32:J46" si="7">G32&amp;D32&amp;I32&amp;L32</f>
        <v>ManTech10Govt</v>
      </c>
      <c r="K32" s="135"/>
      <c r="L32" s="105" t="s">
        <v>120</v>
      </c>
      <c r="M32" s="127">
        <v>29</v>
      </c>
      <c r="N32" s="127">
        <f t="shared" ref="N32:N46" ca="1" si="8">ROUND($M32*(VLOOKUP($L32,$L$9:$AB$24,N$6,FALSE)),2)</f>
        <v>29.72</v>
      </c>
      <c r="O32" s="127">
        <f t="shared" ref="O32:P46" ca="1" si="9">$N32*(VLOOKUP($L32,$L$9:$AB$24,O$6,FALSE))</f>
        <v>10.401999999999999</v>
      </c>
      <c r="P32" s="127">
        <f t="shared" ca="1" si="9"/>
        <v>10.401999999999999</v>
      </c>
      <c r="Q32" s="127">
        <f t="shared" ref="Q32:Q46" ca="1" si="10">($N32+O32+P32)*(VLOOKUP($L32,$L$9:$AB$24,Q$6,FALSE))</f>
        <v>15.7836976</v>
      </c>
      <c r="R32" s="127">
        <f t="shared" ref="R32:R46" ca="1" si="11">($N32+$Q32+O32+P32)*(VLOOKUP($L32,$L$9:$AB$24,R$6,FALSE))</f>
        <v>1.4786616564799999</v>
      </c>
      <c r="S32" s="127">
        <f t="shared" ref="S32:S37" ca="1" si="12">$S$10/SUM($AD$32:$AD$46)</f>
        <v>0.27029885057471265</v>
      </c>
      <c r="T32" s="127">
        <f t="shared" ref="T32:T37" ca="1" si="13">$T$10/SUM($AD$32:$AD$46)</f>
        <v>7.1668965517241376E-2</v>
      </c>
      <c r="U32" s="127">
        <f t="shared" ref="U32:U37" si="14">((M32*AD32)*$U$10)/AD32</f>
        <v>4.3499999999999996</v>
      </c>
      <c r="V32" s="127">
        <f t="shared" ref="V32:V37" si="15">$V$10/AD32</f>
        <v>1.4367816091954022</v>
      </c>
      <c r="W32" s="127">
        <f t="shared" ref="W32:W37" si="16">$W$10/AD32</f>
        <v>0.25875862068965516</v>
      </c>
      <c r="X32" s="127">
        <f t="shared" ref="X32:X37" ca="1" si="17">N32*$X$10</f>
        <v>0.56467999999999996</v>
      </c>
      <c r="Y32" s="127">
        <f t="shared" ref="Y32:Y37" si="18">$Y$10/AD32</f>
        <v>2.3649712643678162</v>
      </c>
      <c r="Z32" s="127">
        <f ca="1">IF($G32="ManTech",(SUM($N32:$Y32)*(VLOOKUP($L32,$L$9:$AB$24,Z$6,FALSE))),(IF(R32=0,((SUM(N32,#REF!))*(VLOOKUP($L32,$L$9:$AB$24,Z$6,FALSE))),(SUM($R32:$R32)*(VLOOKUP($L32,$L$9:$AB$24,Z$6,FALSE))))))</f>
        <v>7.3017032082783118</v>
      </c>
      <c r="AA32" s="127">
        <f t="shared" ref="AA32:AA46" ca="1" si="19">SUM(N32:Z32)</f>
        <v>84.405221775103144</v>
      </c>
      <c r="AB32" s="127">
        <f t="shared" ref="AB32:AB46" ca="1" si="20">(AA32*(VLOOKUP($L32,$L$9:$AB$24,AB$6,FALSE)))</f>
        <v>6.7524177420082516</v>
      </c>
      <c r="AC32" s="127">
        <f t="shared" ref="AC32:AC46" ca="1" si="21">ROUND(SUM(AA32:AB32),2)</f>
        <v>91.16</v>
      </c>
      <c r="AD32" s="104">
        <v>3480</v>
      </c>
      <c r="AE32" s="92">
        <f t="shared" ref="AE32:AE46" ca="1" si="22">$AC32*$AD32</f>
        <v>317236.8</v>
      </c>
      <c r="AF32" s="134">
        <f t="shared" ref="AF32:AF46" ca="1" si="23">AC32*$AF$29</f>
        <v>1093.92</v>
      </c>
      <c r="AG32" s="78"/>
      <c r="AH32" s="78"/>
      <c r="AI32" s="78">
        <f t="shared" ref="AI32:AI46" ca="1" si="24">AA32*AD32</f>
        <v>293730.17177735892</v>
      </c>
      <c r="AJ32" s="78">
        <f t="shared" ref="AJ32:AJ46" ca="1" si="25">AC32*AD32</f>
        <v>317236.8</v>
      </c>
      <c r="AK32" s="78">
        <f t="shared" ref="AK32:AK46" ca="1" si="26">AJ32-AI32</f>
        <v>23506.628222641069</v>
      </c>
      <c r="AL32" s="94">
        <f t="shared" ref="AL32:AL46" ca="1" si="27">IF(AK32=0,0,ROUND(AK32/AI32,2))</f>
        <v>0.08</v>
      </c>
      <c r="AM32" s="78"/>
      <c r="AN32" s="78"/>
      <c r="AO32" s="78"/>
      <c r="AP32" s="78">
        <f t="shared" ref="AP32:AP46" si="28">Y32*AD32</f>
        <v>8230.1</v>
      </c>
      <c r="AQ32" s="78"/>
      <c r="AR32" s="78"/>
      <c r="AS32" s="78"/>
      <c r="AT32" s="78"/>
      <c r="AU32" s="53"/>
      <c r="AV32" s="52"/>
      <c r="AW32" s="51"/>
      <c r="AZ32" s="46" t="str">
        <f t="shared" ref="AZ32:AZ46" ca="1" si="29">IF((OR((AC32=""),(AC32&gt;0))),"1","0")</f>
        <v>1</v>
      </c>
      <c r="BA32" s="46" t="str">
        <f t="shared" ref="BA32:BA46" ca="1" si="30">IF((OR((AE32=""),(AE32&gt;0))),"1","0")</f>
        <v>1</v>
      </c>
    </row>
    <row r="33" spans="4:53">
      <c r="D33" s="45">
        <f t="shared" ref="D33:D46" si="31">D32+1</f>
        <v>2</v>
      </c>
      <c r="E33" s="137" t="s">
        <v>63</v>
      </c>
      <c r="F33" s="45"/>
      <c r="G33" s="105" t="s">
        <v>99</v>
      </c>
      <c r="H33" s="45"/>
      <c r="I33" s="136">
        <v>0</v>
      </c>
      <c r="J33" s="135" t="str">
        <f t="shared" si="7"/>
        <v>ManTech20Govt</v>
      </c>
      <c r="K33" s="135"/>
      <c r="L33" s="105" t="s">
        <v>120</v>
      </c>
      <c r="M33" s="127">
        <v>33.81</v>
      </c>
      <c r="N33" s="127">
        <f t="shared" ca="1" si="8"/>
        <v>34.65</v>
      </c>
      <c r="O33" s="127">
        <f t="shared" ca="1" si="9"/>
        <v>12.1275</v>
      </c>
      <c r="P33" s="127">
        <f t="shared" ca="1" si="9"/>
        <v>12.1275</v>
      </c>
      <c r="Q33" s="127">
        <f t="shared" ca="1" si="10"/>
        <v>18.401921999999999</v>
      </c>
      <c r="R33" s="127">
        <f t="shared" ca="1" si="11"/>
        <v>1.7239443606</v>
      </c>
      <c r="S33" s="127">
        <f t="shared" ca="1" si="12"/>
        <v>0.27029885057471265</v>
      </c>
      <c r="T33" s="127">
        <f t="shared" ca="1" si="13"/>
        <v>7.1668965517241376E-2</v>
      </c>
      <c r="U33" s="127">
        <f t="shared" si="14"/>
        <v>5.0715000000000003</v>
      </c>
      <c r="V33" s="127">
        <f t="shared" si="15"/>
        <v>1.4367816091954022</v>
      </c>
      <c r="W33" s="127">
        <f t="shared" si="16"/>
        <v>0.25875862068965516</v>
      </c>
      <c r="X33" s="127">
        <f t="shared" ca="1" si="17"/>
        <v>0.65834999999999999</v>
      </c>
      <c r="Y33" s="127">
        <f t="shared" si="18"/>
        <v>2.3649712643678162</v>
      </c>
      <c r="Z33" s="127">
        <f ca="1">IF($G33="ManTech",(SUM($N33:$Y33)*(VLOOKUP($L33,$L$9:$AB$24,Z$6,FALSE))),(IF(R33=0,((SUM(N33,#REF!))*(VLOOKUP($L33,$L$9:$AB$24,Z$6,FALSE))),(SUM($R33:$R33)*(VLOOKUP($L33,$L$9:$AB$24,Z$6,FALSE))))))</f>
        <v>8.4437546300384767</v>
      </c>
      <c r="AA33" s="127">
        <f t="shared" ca="1" si="19"/>
        <v>97.6069503009833</v>
      </c>
      <c r="AB33" s="127">
        <f t="shared" ca="1" si="20"/>
        <v>7.8085560240786638</v>
      </c>
      <c r="AC33" s="127">
        <f t="shared" ca="1" si="21"/>
        <v>105.42</v>
      </c>
      <c r="AD33" s="104">
        <v>3480</v>
      </c>
      <c r="AE33" s="92">
        <f t="shared" ca="1" si="22"/>
        <v>366861.60000000003</v>
      </c>
      <c r="AF33" s="134">
        <f t="shared" ca="1" si="23"/>
        <v>1265.04</v>
      </c>
      <c r="AG33" s="78"/>
      <c r="AH33" s="78"/>
      <c r="AI33" s="78">
        <f t="shared" ca="1" si="24"/>
        <v>339672.18704742187</v>
      </c>
      <c r="AJ33" s="78">
        <f t="shared" ca="1" si="25"/>
        <v>366861.60000000003</v>
      </c>
      <c r="AK33" s="78">
        <f t="shared" ca="1" si="26"/>
        <v>27189.412952578161</v>
      </c>
      <c r="AL33" s="94">
        <f t="shared" ca="1" si="27"/>
        <v>0.08</v>
      </c>
      <c r="AM33" s="78"/>
      <c r="AN33" s="78"/>
      <c r="AO33" s="78"/>
      <c r="AP33" s="78">
        <f t="shared" si="28"/>
        <v>8230.1</v>
      </c>
      <c r="AQ33" s="78"/>
      <c r="AR33" s="78"/>
      <c r="AS33" s="78"/>
      <c r="AT33" s="78"/>
      <c r="AU33" s="53"/>
      <c r="AV33" s="52"/>
      <c r="AW33" s="51"/>
      <c r="AZ33" s="46" t="str">
        <f t="shared" ca="1" si="29"/>
        <v>1</v>
      </c>
      <c r="BA33" s="46" t="str">
        <f t="shared" ca="1" si="30"/>
        <v>1</v>
      </c>
    </row>
    <row r="34" spans="4:53">
      <c r="D34" s="45">
        <f t="shared" si="31"/>
        <v>3</v>
      </c>
      <c r="E34" s="137" t="s">
        <v>63</v>
      </c>
      <c r="F34" s="45"/>
      <c r="G34" s="105" t="s">
        <v>99</v>
      </c>
      <c r="H34" s="45"/>
      <c r="I34" s="136">
        <v>0</v>
      </c>
      <c r="J34" s="135" t="str">
        <f t="shared" si="7"/>
        <v>ManTech30Govt</v>
      </c>
      <c r="K34" s="135"/>
      <c r="L34" s="105" t="s">
        <v>120</v>
      </c>
      <c r="M34" s="127">
        <v>33.81</v>
      </c>
      <c r="N34" s="127">
        <f t="shared" ca="1" si="8"/>
        <v>34.65</v>
      </c>
      <c r="O34" s="127">
        <f t="shared" ca="1" si="9"/>
        <v>12.1275</v>
      </c>
      <c r="P34" s="127">
        <f t="shared" ca="1" si="9"/>
        <v>12.1275</v>
      </c>
      <c r="Q34" s="127">
        <f t="shared" ca="1" si="10"/>
        <v>18.401921999999999</v>
      </c>
      <c r="R34" s="127">
        <f t="shared" ca="1" si="11"/>
        <v>1.7239443606</v>
      </c>
      <c r="S34" s="127">
        <f t="shared" ca="1" si="12"/>
        <v>0.27029885057471265</v>
      </c>
      <c r="T34" s="127">
        <f t="shared" ca="1" si="13"/>
        <v>7.1668965517241376E-2</v>
      </c>
      <c r="U34" s="127">
        <f t="shared" si="14"/>
        <v>5.0715000000000003</v>
      </c>
      <c r="V34" s="127">
        <f t="shared" si="15"/>
        <v>1.4367816091954022</v>
      </c>
      <c r="W34" s="127">
        <f t="shared" si="16"/>
        <v>0.25875862068965516</v>
      </c>
      <c r="X34" s="127">
        <f t="shared" ca="1" si="17"/>
        <v>0.65834999999999999</v>
      </c>
      <c r="Y34" s="127">
        <f t="shared" si="18"/>
        <v>2.3649712643678162</v>
      </c>
      <c r="Z34" s="127">
        <f ca="1">IF($G34="ManTech",(SUM($N34:$Y34)*(VLOOKUP($L34,$L$9:$AB$24,Z$6,FALSE))),(IF(R34=0,((SUM(N34,#REF!))*(VLOOKUP($L34,$L$9:$AB$24,Z$6,FALSE))),(SUM($R34:$R34)*(VLOOKUP($L34,$L$9:$AB$24,Z$6,FALSE))))))</f>
        <v>8.4437546300384767</v>
      </c>
      <c r="AA34" s="127">
        <f t="shared" ca="1" si="19"/>
        <v>97.6069503009833</v>
      </c>
      <c r="AB34" s="127">
        <f t="shared" ca="1" si="20"/>
        <v>7.8085560240786638</v>
      </c>
      <c r="AC34" s="127">
        <f t="shared" ca="1" si="21"/>
        <v>105.42</v>
      </c>
      <c r="AD34" s="104">
        <v>3480</v>
      </c>
      <c r="AE34" s="92">
        <f t="shared" ca="1" si="22"/>
        <v>366861.60000000003</v>
      </c>
      <c r="AF34" s="134">
        <f t="shared" ca="1" si="23"/>
        <v>1265.04</v>
      </c>
      <c r="AG34" s="78"/>
      <c r="AH34" s="78"/>
      <c r="AI34" s="78">
        <f t="shared" ca="1" si="24"/>
        <v>339672.18704742187</v>
      </c>
      <c r="AJ34" s="78">
        <f t="shared" ca="1" si="25"/>
        <v>366861.60000000003</v>
      </c>
      <c r="AK34" s="78">
        <f t="shared" ca="1" si="26"/>
        <v>27189.412952578161</v>
      </c>
      <c r="AL34" s="94">
        <f t="shared" ca="1" si="27"/>
        <v>0.08</v>
      </c>
      <c r="AM34" s="78"/>
      <c r="AN34" s="78"/>
      <c r="AO34" s="78"/>
      <c r="AP34" s="78">
        <f t="shared" si="28"/>
        <v>8230.1</v>
      </c>
      <c r="AQ34" s="78"/>
      <c r="AR34" s="78"/>
      <c r="AS34" s="78"/>
      <c r="AT34" s="78"/>
      <c r="AU34" s="53"/>
      <c r="AV34" s="52"/>
      <c r="AW34" s="51"/>
      <c r="AZ34" s="46" t="str">
        <f t="shared" ca="1" si="29"/>
        <v>1</v>
      </c>
      <c r="BA34" s="46" t="str">
        <f t="shared" ca="1" si="30"/>
        <v>1</v>
      </c>
    </row>
    <row r="35" spans="4:53">
      <c r="D35" s="45">
        <f t="shared" si="31"/>
        <v>4</v>
      </c>
      <c r="E35" s="137" t="s">
        <v>63</v>
      </c>
      <c r="F35" s="45"/>
      <c r="G35" s="105" t="s">
        <v>99</v>
      </c>
      <c r="H35" s="45"/>
      <c r="I35" s="136">
        <v>0</v>
      </c>
      <c r="J35" s="135" t="str">
        <f t="shared" si="7"/>
        <v>ManTech40Govt</v>
      </c>
      <c r="K35" s="135"/>
      <c r="L35" s="105" t="s">
        <v>120</v>
      </c>
      <c r="M35" s="127">
        <v>33.81</v>
      </c>
      <c r="N35" s="127">
        <f t="shared" ca="1" si="8"/>
        <v>34.65</v>
      </c>
      <c r="O35" s="127">
        <f t="shared" ca="1" si="9"/>
        <v>12.1275</v>
      </c>
      <c r="P35" s="127">
        <f t="shared" ca="1" si="9"/>
        <v>12.1275</v>
      </c>
      <c r="Q35" s="127">
        <f t="shared" ca="1" si="10"/>
        <v>18.401921999999999</v>
      </c>
      <c r="R35" s="127">
        <f t="shared" ca="1" si="11"/>
        <v>1.7239443606</v>
      </c>
      <c r="S35" s="127">
        <f t="shared" ca="1" si="12"/>
        <v>0.27029885057471265</v>
      </c>
      <c r="T35" s="127">
        <f t="shared" ca="1" si="13"/>
        <v>7.1668965517241376E-2</v>
      </c>
      <c r="U35" s="127">
        <f t="shared" si="14"/>
        <v>5.0715000000000003</v>
      </c>
      <c r="V35" s="127">
        <f t="shared" si="15"/>
        <v>1.4367816091954022</v>
      </c>
      <c r="W35" s="127">
        <f t="shared" si="16"/>
        <v>0.25875862068965516</v>
      </c>
      <c r="X35" s="127">
        <f t="shared" ca="1" si="17"/>
        <v>0.65834999999999999</v>
      </c>
      <c r="Y35" s="127">
        <f t="shared" si="18"/>
        <v>2.3649712643678162</v>
      </c>
      <c r="Z35" s="127">
        <f ca="1">IF($G35="ManTech",(SUM($N35:$Y35)*(VLOOKUP($L35,$L$9:$AB$24,Z$6,FALSE))),(IF(R35=0,((SUM(N35,#REF!))*(VLOOKUP($L35,$L$9:$AB$24,Z$6,FALSE))),(SUM($R35:$R35)*(VLOOKUP($L35,$L$9:$AB$24,Z$6,FALSE))))))</f>
        <v>8.4437546300384767</v>
      </c>
      <c r="AA35" s="127">
        <f t="shared" ca="1" si="19"/>
        <v>97.6069503009833</v>
      </c>
      <c r="AB35" s="127">
        <f t="shared" ca="1" si="20"/>
        <v>7.8085560240786638</v>
      </c>
      <c r="AC35" s="127">
        <f t="shared" ca="1" si="21"/>
        <v>105.42</v>
      </c>
      <c r="AD35" s="104">
        <v>3480</v>
      </c>
      <c r="AE35" s="92">
        <f t="shared" ca="1" si="22"/>
        <v>366861.60000000003</v>
      </c>
      <c r="AF35" s="134">
        <f t="shared" ca="1" si="23"/>
        <v>1265.04</v>
      </c>
      <c r="AG35" s="78"/>
      <c r="AH35" s="78"/>
      <c r="AI35" s="78">
        <f t="shared" ca="1" si="24"/>
        <v>339672.18704742187</v>
      </c>
      <c r="AJ35" s="78">
        <f t="shared" ca="1" si="25"/>
        <v>366861.60000000003</v>
      </c>
      <c r="AK35" s="78">
        <f t="shared" ca="1" si="26"/>
        <v>27189.412952578161</v>
      </c>
      <c r="AL35" s="94">
        <f t="shared" ca="1" si="27"/>
        <v>0.08</v>
      </c>
      <c r="AM35" s="78"/>
      <c r="AN35" s="78"/>
      <c r="AO35" s="78"/>
      <c r="AP35" s="78">
        <f t="shared" si="28"/>
        <v>8230.1</v>
      </c>
      <c r="AQ35" s="78"/>
      <c r="AR35" s="78"/>
      <c r="AS35" s="78"/>
      <c r="AT35" s="78"/>
      <c r="AU35" s="53"/>
      <c r="AV35" s="52"/>
      <c r="AW35" s="51"/>
      <c r="AZ35" s="46" t="str">
        <f t="shared" ca="1" si="29"/>
        <v>1</v>
      </c>
      <c r="BA35" s="46" t="str">
        <f t="shared" ca="1" si="30"/>
        <v>1</v>
      </c>
    </row>
    <row r="36" spans="4:53">
      <c r="D36" s="45">
        <f t="shared" si="31"/>
        <v>5</v>
      </c>
      <c r="E36" s="137" t="s">
        <v>65</v>
      </c>
      <c r="F36" s="45"/>
      <c r="G36" s="105" t="s">
        <v>99</v>
      </c>
      <c r="H36" s="45"/>
      <c r="I36" s="136">
        <v>0</v>
      </c>
      <c r="J36" s="135" t="str">
        <f t="shared" si="7"/>
        <v>ManTech50Govt</v>
      </c>
      <c r="K36" s="135"/>
      <c r="L36" s="105" t="s">
        <v>120</v>
      </c>
      <c r="M36" s="127">
        <v>26</v>
      </c>
      <c r="N36" s="127">
        <f t="shared" ca="1" si="8"/>
        <v>26.64</v>
      </c>
      <c r="O36" s="127">
        <f t="shared" ca="1" si="9"/>
        <v>9.3239999999999998</v>
      </c>
      <c r="P36" s="127">
        <f t="shared" ca="1" si="9"/>
        <v>9.3239999999999998</v>
      </c>
      <c r="Q36" s="127">
        <f t="shared" ca="1" si="10"/>
        <v>14.147971199999999</v>
      </c>
      <c r="R36" s="127">
        <f t="shared" ca="1" si="11"/>
        <v>1.3254221577600001</v>
      </c>
      <c r="S36" s="127">
        <f t="shared" ca="1" si="12"/>
        <v>0.27029885057471265</v>
      </c>
      <c r="T36" s="127">
        <f t="shared" ca="1" si="13"/>
        <v>7.1668965517241376E-2</v>
      </c>
      <c r="U36" s="127">
        <f t="shared" si="14"/>
        <v>3.9</v>
      </c>
      <c r="V36" s="127">
        <f t="shared" si="15"/>
        <v>1.4367816091954022</v>
      </c>
      <c r="W36" s="127">
        <f t="shared" si="16"/>
        <v>0.25875862068965516</v>
      </c>
      <c r="X36" s="127">
        <f t="shared" ca="1" si="17"/>
        <v>0.50615999999999994</v>
      </c>
      <c r="Y36" s="127">
        <f t="shared" si="18"/>
        <v>2.3649712643678162</v>
      </c>
      <c r="Z36" s="127">
        <f ca="1">IF($G36="ManTech",(SUM($N36:$Y36)*(VLOOKUP($L36,$L$9:$AB$24,Z$6,FALSE))),(IF(R36=0,((SUM(N36,#REF!))*(VLOOKUP($L36,$L$9:$AB$24,Z$6,FALSE))),(SUM($R36:$R36)*(VLOOKUP($L36,$L$9:$AB$24,Z$6,FALSE))))))</f>
        <v>6.5882820936695277</v>
      </c>
      <c r="AA36" s="127">
        <f t="shared" ca="1" si="19"/>
        <v>76.158314761774363</v>
      </c>
      <c r="AB36" s="127">
        <f t="shared" ca="1" si="20"/>
        <v>6.0926651809419496</v>
      </c>
      <c r="AC36" s="127">
        <f t="shared" ca="1" si="21"/>
        <v>82.25</v>
      </c>
      <c r="AD36" s="104">
        <v>3480</v>
      </c>
      <c r="AE36" s="92">
        <f t="shared" ca="1" si="22"/>
        <v>286230</v>
      </c>
      <c r="AF36" s="134">
        <f t="shared" ca="1" si="23"/>
        <v>987</v>
      </c>
      <c r="AG36" s="78"/>
      <c r="AH36" s="78"/>
      <c r="AI36" s="78">
        <f t="shared" ca="1" si="24"/>
        <v>265030.93537097477</v>
      </c>
      <c r="AJ36" s="78">
        <f t="shared" ca="1" si="25"/>
        <v>286230</v>
      </c>
      <c r="AK36" s="78">
        <f t="shared" ca="1" si="26"/>
        <v>21199.064629025233</v>
      </c>
      <c r="AL36" s="94">
        <f t="shared" ca="1" si="27"/>
        <v>0.08</v>
      </c>
      <c r="AM36" s="78"/>
      <c r="AN36" s="78"/>
      <c r="AO36" s="78"/>
      <c r="AP36" s="78">
        <f t="shared" si="28"/>
        <v>8230.1</v>
      </c>
      <c r="AQ36" s="78"/>
      <c r="AR36" s="78"/>
      <c r="AS36" s="78"/>
      <c r="AT36" s="78"/>
      <c r="AU36" s="53"/>
      <c r="AV36" s="52"/>
      <c r="AW36" s="51"/>
      <c r="AZ36" s="46" t="str">
        <f t="shared" ca="1" si="29"/>
        <v>1</v>
      </c>
      <c r="BA36" s="46" t="str">
        <f t="shared" ca="1" si="30"/>
        <v>1</v>
      </c>
    </row>
    <row r="37" spans="4:53">
      <c r="D37" s="45">
        <f t="shared" si="31"/>
        <v>6</v>
      </c>
      <c r="E37" s="137" t="s">
        <v>65</v>
      </c>
      <c r="F37" s="45"/>
      <c r="G37" s="105" t="s">
        <v>99</v>
      </c>
      <c r="H37" s="45"/>
      <c r="I37" s="136">
        <v>0</v>
      </c>
      <c r="J37" s="135" t="str">
        <f t="shared" si="7"/>
        <v>ManTech60Govt</v>
      </c>
      <c r="K37" s="135"/>
      <c r="L37" s="105" t="s">
        <v>120</v>
      </c>
      <c r="M37" s="127">
        <v>26</v>
      </c>
      <c r="N37" s="127">
        <f t="shared" ca="1" si="8"/>
        <v>26.64</v>
      </c>
      <c r="O37" s="127">
        <f t="shared" ca="1" si="9"/>
        <v>9.3239999999999998</v>
      </c>
      <c r="P37" s="127">
        <f t="shared" ca="1" si="9"/>
        <v>9.3239999999999998</v>
      </c>
      <c r="Q37" s="127">
        <f t="shared" ca="1" si="10"/>
        <v>14.147971199999999</v>
      </c>
      <c r="R37" s="127">
        <f t="shared" ca="1" si="11"/>
        <v>1.3254221577600001</v>
      </c>
      <c r="S37" s="127">
        <f t="shared" ca="1" si="12"/>
        <v>0.27029885057471265</v>
      </c>
      <c r="T37" s="127">
        <f t="shared" ca="1" si="13"/>
        <v>7.1668965517241376E-2</v>
      </c>
      <c r="U37" s="127">
        <f t="shared" si="14"/>
        <v>3.9</v>
      </c>
      <c r="V37" s="127">
        <f t="shared" si="15"/>
        <v>1.4367816091954022</v>
      </c>
      <c r="W37" s="127">
        <f t="shared" si="16"/>
        <v>0.25875862068965516</v>
      </c>
      <c r="X37" s="127">
        <f t="shared" ca="1" si="17"/>
        <v>0.50615999999999994</v>
      </c>
      <c r="Y37" s="127">
        <f t="shared" si="18"/>
        <v>2.3649712643678162</v>
      </c>
      <c r="Z37" s="127">
        <f ca="1">IF($G37="ManTech",(SUM($N37:$Y37)*(VLOOKUP($L37,$L$9:$AB$24,Z$6,FALSE))),(IF(R37=0,((SUM(N37,#REF!))*(VLOOKUP($L37,$L$9:$AB$24,Z$6,FALSE))),(SUM($R37:$R37)*(VLOOKUP($L37,$L$9:$AB$24,Z$6,FALSE))))))</f>
        <v>6.5882820936695277</v>
      </c>
      <c r="AA37" s="127">
        <f t="shared" ca="1" si="19"/>
        <v>76.158314761774363</v>
      </c>
      <c r="AB37" s="127">
        <f t="shared" ca="1" si="20"/>
        <v>6.0926651809419496</v>
      </c>
      <c r="AC37" s="127">
        <f t="shared" ca="1" si="21"/>
        <v>82.25</v>
      </c>
      <c r="AD37" s="104">
        <v>3480</v>
      </c>
      <c r="AE37" s="92">
        <f t="shared" ca="1" si="22"/>
        <v>286230</v>
      </c>
      <c r="AF37" s="134">
        <f t="shared" ca="1" si="23"/>
        <v>987</v>
      </c>
      <c r="AG37" s="78"/>
      <c r="AH37" s="78"/>
      <c r="AI37" s="78">
        <f t="shared" ca="1" si="24"/>
        <v>265030.93537097477</v>
      </c>
      <c r="AJ37" s="78">
        <f t="shared" ca="1" si="25"/>
        <v>286230</v>
      </c>
      <c r="AK37" s="78">
        <f t="shared" ca="1" si="26"/>
        <v>21199.064629025233</v>
      </c>
      <c r="AL37" s="94">
        <f t="shared" ca="1" si="27"/>
        <v>0.08</v>
      </c>
      <c r="AM37" s="78"/>
      <c r="AN37" s="78"/>
      <c r="AO37" s="78"/>
      <c r="AP37" s="78">
        <f t="shared" si="28"/>
        <v>8230.1</v>
      </c>
      <c r="AQ37" s="78"/>
      <c r="AR37" s="78"/>
      <c r="AS37" s="78"/>
      <c r="AT37" s="78"/>
      <c r="AU37" s="53"/>
      <c r="AV37" s="52"/>
      <c r="AW37" s="51"/>
      <c r="AZ37" s="46" t="str">
        <f t="shared" ca="1" si="29"/>
        <v>1</v>
      </c>
      <c r="BA37" s="46" t="str">
        <f t="shared" ca="1" si="30"/>
        <v>1</v>
      </c>
    </row>
    <row r="38" spans="4:53">
      <c r="D38" s="45">
        <f t="shared" si="31"/>
        <v>7</v>
      </c>
      <c r="E38" s="137" t="s">
        <v>66</v>
      </c>
      <c r="F38" s="45"/>
      <c r="G38" s="105" t="s">
        <v>241</v>
      </c>
      <c r="H38" s="45"/>
      <c r="I38" s="136">
        <v>0</v>
      </c>
      <c r="J38" s="135" t="str">
        <f t="shared" si="7"/>
        <v>Segovia, Inc.70Govt_Sub</v>
      </c>
      <c r="K38" s="135"/>
      <c r="L38" s="105" t="s">
        <v>119</v>
      </c>
      <c r="M38" s="127">
        <v>76.75</v>
      </c>
      <c r="N38" s="127">
        <f t="shared" ca="1" si="8"/>
        <v>76.75</v>
      </c>
      <c r="O38" s="127">
        <f t="shared" ca="1" si="9"/>
        <v>0</v>
      </c>
      <c r="P38" s="127">
        <f t="shared" ca="1" si="9"/>
        <v>0</v>
      </c>
      <c r="Q38" s="127">
        <f t="shared" ca="1" si="10"/>
        <v>0</v>
      </c>
      <c r="R38" s="127">
        <f t="shared" ca="1" si="11"/>
        <v>2.3562250000000002</v>
      </c>
      <c r="S38" s="127"/>
      <c r="T38" s="127"/>
      <c r="U38" s="127">
        <v>0</v>
      </c>
      <c r="V38" s="127">
        <v>0</v>
      </c>
      <c r="W38" s="127">
        <v>0</v>
      </c>
      <c r="X38" s="127">
        <v>0</v>
      </c>
      <c r="Y38" s="127">
        <v>0</v>
      </c>
      <c r="Z38" s="127">
        <f ca="1">IF($G38="ManTech",(SUM($N38:$Y38)*(VLOOKUP($L38,$L$9:$AB$24,Z$6,FALSE))),(IF(R38=0,((SUM(N38,#REF!))*(VLOOKUP($L38,$L$9:$AB$24,Z$6,FALSE))),(SUM($R38:$R38)*(VLOOKUP($L38,$L$9:$AB$24,Z$6,FALSE))))))</f>
        <v>0.22313450750000005</v>
      </c>
      <c r="AA38" s="127">
        <f t="shared" ca="1" si="19"/>
        <v>79.329359507500001</v>
      </c>
      <c r="AB38" s="127">
        <f t="shared" ca="1" si="20"/>
        <v>6.3463487606000006</v>
      </c>
      <c r="AC38" s="127">
        <f t="shared" ca="1" si="21"/>
        <v>85.68</v>
      </c>
      <c r="AD38" s="104">
        <v>3480</v>
      </c>
      <c r="AE38" s="92">
        <f t="shared" ca="1" si="22"/>
        <v>298166.40000000002</v>
      </c>
      <c r="AF38" s="134">
        <f t="shared" ca="1" si="23"/>
        <v>1028.1600000000001</v>
      </c>
      <c r="AG38" s="78"/>
      <c r="AH38" s="78"/>
      <c r="AI38" s="78">
        <f t="shared" ca="1" si="24"/>
        <v>276066.17108609999</v>
      </c>
      <c r="AJ38" s="78">
        <f t="shared" ca="1" si="25"/>
        <v>298166.40000000002</v>
      </c>
      <c r="AK38" s="78">
        <f t="shared" ca="1" si="26"/>
        <v>22100.228913900035</v>
      </c>
      <c r="AL38" s="94">
        <f t="shared" ca="1" si="27"/>
        <v>0.08</v>
      </c>
      <c r="AM38" s="78"/>
      <c r="AN38" s="78"/>
      <c r="AO38" s="78"/>
      <c r="AP38" s="78">
        <f t="shared" si="28"/>
        <v>0</v>
      </c>
      <c r="AQ38" s="78"/>
      <c r="AR38" s="78"/>
      <c r="AS38" s="78"/>
      <c r="AT38" s="78"/>
      <c r="AU38" s="53"/>
      <c r="AV38" s="52"/>
      <c r="AW38" s="51"/>
      <c r="AZ38" s="46" t="str">
        <f t="shared" ca="1" si="29"/>
        <v>1</v>
      </c>
      <c r="BA38" s="46" t="str">
        <f t="shared" ca="1" si="30"/>
        <v>1</v>
      </c>
    </row>
    <row r="39" spans="4:53">
      <c r="D39" s="45">
        <f t="shared" si="31"/>
        <v>8</v>
      </c>
      <c r="E39" s="137" t="s">
        <v>266</v>
      </c>
      <c r="F39" s="45"/>
      <c r="G39" s="105" t="s">
        <v>241</v>
      </c>
      <c r="H39" s="45"/>
      <c r="I39" s="136">
        <v>0</v>
      </c>
      <c r="J39" s="135" t="str">
        <f t="shared" si="7"/>
        <v>Segovia, Inc.80Govt_Sub</v>
      </c>
      <c r="K39" s="135"/>
      <c r="L39" s="105" t="s">
        <v>119</v>
      </c>
      <c r="M39" s="127">
        <v>65.416666666666671</v>
      </c>
      <c r="N39" s="127">
        <f t="shared" ca="1" si="8"/>
        <v>65.42</v>
      </c>
      <c r="O39" s="127">
        <f t="shared" ca="1" si="9"/>
        <v>0</v>
      </c>
      <c r="P39" s="127">
        <f t="shared" ca="1" si="9"/>
        <v>0</v>
      </c>
      <c r="Q39" s="127">
        <f t="shared" ca="1" si="10"/>
        <v>0</v>
      </c>
      <c r="R39" s="127">
        <f t="shared" ca="1" si="11"/>
        <v>2.008394</v>
      </c>
      <c r="S39" s="127"/>
      <c r="T39" s="127"/>
      <c r="U39" s="127">
        <v>0</v>
      </c>
      <c r="V39" s="127">
        <v>0</v>
      </c>
      <c r="W39" s="127">
        <v>0</v>
      </c>
      <c r="X39" s="127">
        <v>0</v>
      </c>
      <c r="Y39" s="127">
        <v>0</v>
      </c>
      <c r="Z39" s="127">
        <f ca="1">IF($G39="ManTech",(SUM($N39:$Y39)*(VLOOKUP($L39,$L$9:$AB$24,Z$6,FALSE))),(IF(R39=0,((SUM(N39,#REF!))*(VLOOKUP($L39,$L$9:$AB$24,Z$6,FALSE))),(SUM($R39:$R39)*(VLOOKUP($L39,$L$9:$AB$24,Z$6,FALSE))))))</f>
        <v>0.1901949118</v>
      </c>
      <c r="AA39" s="127">
        <f t="shared" ca="1" si="19"/>
        <v>67.618588911800003</v>
      </c>
      <c r="AB39" s="127">
        <f t="shared" ca="1" si="20"/>
        <v>5.4094871129440003</v>
      </c>
      <c r="AC39" s="127">
        <f t="shared" ca="1" si="21"/>
        <v>73.03</v>
      </c>
      <c r="AD39" s="104">
        <v>3480</v>
      </c>
      <c r="AE39" s="92">
        <f t="shared" ca="1" si="22"/>
        <v>254144.4</v>
      </c>
      <c r="AF39" s="134">
        <f t="shared" ca="1" si="23"/>
        <v>876.36</v>
      </c>
      <c r="AG39" s="78"/>
      <c r="AH39" s="78"/>
      <c r="AI39" s="78">
        <f t="shared" ca="1" si="24"/>
        <v>235312.68941306401</v>
      </c>
      <c r="AJ39" s="78">
        <f t="shared" ca="1" si="25"/>
        <v>254144.4</v>
      </c>
      <c r="AK39" s="78">
        <f t="shared" ca="1" si="26"/>
        <v>18831.71058693598</v>
      </c>
      <c r="AL39" s="94">
        <f t="shared" ca="1" si="27"/>
        <v>0.08</v>
      </c>
      <c r="AM39" s="78"/>
      <c r="AN39" s="78"/>
      <c r="AO39" s="78"/>
      <c r="AP39" s="78">
        <f t="shared" si="28"/>
        <v>0</v>
      </c>
      <c r="AQ39" s="78"/>
      <c r="AR39" s="78"/>
      <c r="AS39" s="78"/>
      <c r="AT39" s="78"/>
      <c r="AU39" s="53"/>
      <c r="AV39" s="52"/>
      <c r="AW39" s="51"/>
      <c r="AZ39" s="46" t="str">
        <f t="shared" ca="1" si="29"/>
        <v>1</v>
      </c>
      <c r="BA39" s="46" t="str">
        <f t="shared" ca="1" si="30"/>
        <v>1</v>
      </c>
    </row>
    <row r="40" spans="4:53">
      <c r="D40" s="45">
        <f t="shared" si="31"/>
        <v>9</v>
      </c>
      <c r="E40" s="137" t="s">
        <v>74</v>
      </c>
      <c r="F40" s="45"/>
      <c r="G40" s="105" t="s">
        <v>241</v>
      </c>
      <c r="H40" s="45"/>
      <c r="I40" s="136">
        <v>0</v>
      </c>
      <c r="J40" s="135" t="str">
        <f t="shared" si="7"/>
        <v>Segovia, Inc.90Govt_Sub</v>
      </c>
      <c r="K40" s="135"/>
      <c r="L40" s="105" t="s">
        <v>119</v>
      </c>
      <c r="M40" s="127">
        <v>57.416666666666664</v>
      </c>
      <c r="N40" s="127">
        <f t="shared" ca="1" si="8"/>
        <v>57.42</v>
      </c>
      <c r="O40" s="127">
        <f t="shared" ca="1" si="9"/>
        <v>0</v>
      </c>
      <c r="P40" s="127">
        <f t="shared" ca="1" si="9"/>
        <v>0</v>
      </c>
      <c r="Q40" s="127">
        <f t="shared" ca="1" si="10"/>
        <v>0</v>
      </c>
      <c r="R40" s="127">
        <f t="shared" ca="1" si="11"/>
        <v>1.7627940000000002</v>
      </c>
      <c r="S40" s="127"/>
      <c r="T40" s="127"/>
      <c r="U40" s="127">
        <v>0</v>
      </c>
      <c r="V40" s="127">
        <v>0</v>
      </c>
      <c r="W40" s="127">
        <v>0</v>
      </c>
      <c r="X40" s="127">
        <v>0</v>
      </c>
      <c r="Y40" s="127">
        <v>0</v>
      </c>
      <c r="Z40" s="127">
        <f ca="1">IF($G40="ManTech",(SUM($N40:$Y40)*(VLOOKUP($L40,$L$9:$AB$24,Z$6,FALSE))),(IF(R40=0,((SUM(N40,#REF!))*(VLOOKUP($L40,$L$9:$AB$24,Z$6,FALSE))),(SUM($R40:$R40)*(VLOOKUP($L40,$L$9:$AB$24,Z$6,FALSE))))))</f>
        <v>0.16693659180000003</v>
      </c>
      <c r="AA40" s="127">
        <f t="shared" ca="1" si="19"/>
        <v>59.349730591800004</v>
      </c>
      <c r="AB40" s="127">
        <f t="shared" ca="1" si="20"/>
        <v>4.7479784473440008</v>
      </c>
      <c r="AC40" s="127">
        <f t="shared" ca="1" si="21"/>
        <v>64.099999999999994</v>
      </c>
      <c r="AD40" s="104">
        <v>3480</v>
      </c>
      <c r="AE40" s="92">
        <f t="shared" ca="1" si="22"/>
        <v>223067.99999999997</v>
      </c>
      <c r="AF40" s="134">
        <f t="shared" ca="1" si="23"/>
        <v>769.19999999999993</v>
      </c>
      <c r="AG40" s="78"/>
      <c r="AH40" s="78"/>
      <c r="AI40" s="78">
        <f t="shared" ca="1" si="24"/>
        <v>206537.06245946401</v>
      </c>
      <c r="AJ40" s="78">
        <f t="shared" ca="1" si="25"/>
        <v>223067.99999999997</v>
      </c>
      <c r="AK40" s="78">
        <f t="shared" ca="1" si="26"/>
        <v>16530.937540535961</v>
      </c>
      <c r="AL40" s="94">
        <f t="shared" ca="1" si="27"/>
        <v>0.08</v>
      </c>
      <c r="AM40" s="78"/>
      <c r="AN40" s="78"/>
      <c r="AO40" s="78"/>
      <c r="AP40" s="78">
        <f t="shared" si="28"/>
        <v>0</v>
      </c>
      <c r="AQ40" s="78"/>
      <c r="AR40" s="78"/>
      <c r="AS40" s="78"/>
      <c r="AT40" s="78"/>
      <c r="AU40" s="53"/>
      <c r="AV40" s="52"/>
      <c r="AW40" s="51"/>
      <c r="AZ40" s="46" t="str">
        <f t="shared" ca="1" si="29"/>
        <v>1</v>
      </c>
      <c r="BA40" s="46" t="str">
        <f t="shared" ca="1" si="30"/>
        <v>1</v>
      </c>
    </row>
    <row r="41" spans="4:53">
      <c r="D41" s="45">
        <f t="shared" si="31"/>
        <v>10</v>
      </c>
      <c r="E41" s="137" t="s">
        <v>74</v>
      </c>
      <c r="F41" s="45"/>
      <c r="G41" s="105" t="s">
        <v>241</v>
      </c>
      <c r="H41" s="45"/>
      <c r="I41" s="136">
        <v>0</v>
      </c>
      <c r="J41" s="135" t="str">
        <f t="shared" si="7"/>
        <v>Segovia, Inc.100Govt_Sub</v>
      </c>
      <c r="K41" s="135"/>
      <c r="L41" s="105" t="s">
        <v>119</v>
      </c>
      <c r="M41" s="127">
        <v>57.416666666666664</v>
      </c>
      <c r="N41" s="127">
        <f t="shared" ca="1" si="8"/>
        <v>57.42</v>
      </c>
      <c r="O41" s="127">
        <f t="shared" ca="1" si="9"/>
        <v>0</v>
      </c>
      <c r="P41" s="127">
        <f t="shared" ca="1" si="9"/>
        <v>0</v>
      </c>
      <c r="Q41" s="127">
        <f t="shared" ca="1" si="10"/>
        <v>0</v>
      </c>
      <c r="R41" s="127">
        <f t="shared" ca="1" si="11"/>
        <v>1.7627940000000002</v>
      </c>
      <c r="S41" s="127"/>
      <c r="T41" s="127"/>
      <c r="U41" s="127">
        <v>0</v>
      </c>
      <c r="V41" s="127">
        <v>0</v>
      </c>
      <c r="W41" s="127">
        <v>0</v>
      </c>
      <c r="X41" s="127">
        <v>0</v>
      </c>
      <c r="Y41" s="127">
        <v>0</v>
      </c>
      <c r="Z41" s="127">
        <f ca="1">IF($G41="ManTech",(SUM($N41:$Y41)*(VLOOKUP($L41,$L$9:$AB$24,Z$6,FALSE))),(IF(R41=0,((SUM(N41,#REF!))*(VLOOKUP($L41,$L$9:$AB$24,Z$6,FALSE))),(SUM($R41:$R41)*(VLOOKUP($L41,$L$9:$AB$24,Z$6,FALSE))))))</f>
        <v>0.16693659180000003</v>
      </c>
      <c r="AA41" s="127">
        <f t="shared" ca="1" si="19"/>
        <v>59.349730591800004</v>
      </c>
      <c r="AB41" s="127">
        <f t="shared" ca="1" si="20"/>
        <v>4.7479784473440008</v>
      </c>
      <c r="AC41" s="127">
        <f t="shared" ca="1" si="21"/>
        <v>64.099999999999994</v>
      </c>
      <c r="AD41" s="104">
        <v>3480</v>
      </c>
      <c r="AE41" s="92">
        <f t="shared" ca="1" si="22"/>
        <v>223067.99999999997</v>
      </c>
      <c r="AF41" s="134">
        <f t="shared" ca="1" si="23"/>
        <v>769.19999999999993</v>
      </c>
      <c r="AG41" s="78"/>
      <c r="AH41" s="78"/>
      <c r="AI41" s="78">
        <f t="shared" ca="1" si="24"/>
        <v>206537.06245946401</v>
      </c>
      <c r="AJ41" s="78">
        <f t="shared" ca="1" si="25"/>
        <v>223067.99999999997</v>
      </c>
      <c r="AK41" s="78">
        <f t="shared" ca="1" si="26"/>
        <v>16530.937540535961</v>
      </c>
      <c r="AL41" s="94">
        <f t="shared" ca="1" si="27"/>
        <v>0.08</v>
      </c>
      <c r="AM41" s="78"/>
      <c r="AN41" s="78"/>
      <c r="AO41" s="78"/>
      <c r="AP41" s="78">
        <f t="shared" si="28"/>
        <v>0</v>
      </c>
      <c r="AQ41" s="78"/>
      <c r="AR41" s="78"/>
      <c r="AS41" s="78"/>
      <c r="AT41" s="78"/>
      <c r="AU41" s="53"/>
      <c r="AV41" s="52"/>
      <c r="AW41" s="51"/>
      <c r="AZ41" s="46" t="str">
        <f t="shared" ca="1" si="29"/>
        <v>1</v>
      </c>
      <c r="BA41" s="46" t="str">
        <f t="shared" ca="1" si="30"/>
        <v>1</v>
      </c>
    </row>
    <row r="42" spans="4:53">
      <c r="D42" s="45">
        <f t="shared" si="31"/>
        <v>11</v>
      </c>
      <c r="E42" s="137" t="s">
        <v>75</v>
      </c>
      <c r="F42" s="45"/>
      <c r="G42" s="105" t="s">
        <v>99</v>
      </c>
      <c r="H42" s="45"/>
      <c r="I42" s="136">
        <v>0</v>
      </c>
      <c r="J42" s="135" t="str">
        <f t="shared" si="7"/>
        <v>ManTech110Govt</v>
      </c>
      <c r="K42" s="135"/>
      <c r="L42" s="105" t="s">
        <v>120</v>
      </c>
      <c r="M42" s="127">
        <v>27.5</v>
      </c>
      <c r="N42" s="127">
        <f t="shared" ca="1" si="8"/>
        <v>28.18</v>
      </c>
      <c r="O42" s="127">
        <f t="shared" ca="1" si="9"/>
        <v>9.8629999999999995</v>
      </c>
      <c r="P42" s="127">
        <f t="shared" ca="1" si="9"/>
        <v>9.8629999999999995</v>
      </c>
      <c r="Q42" s="127">
        <f t="shared" ca="1" si="10"/>
        <v>14.9658344</v>
      </c>
      <c r="R42" s="127">
        <f t="shared" ca="1" si="11"/>
        <v>1.4020419071199999</v>
      </c>
      <c r="S42" s="127">
        <f ca="1">$S$10/SUM($AD$32:$AD$46)</f>
        <v>0.27029885057471265</v>
      </c>
      <c r="T42" s="127">
        <f ca="1">$T$10/SUM($AD$32:$AD$46)</f>
        <v>7.1668965517241376E-2</v>
      </c>
      <c r="U42" s="127">
        <f>((M42*AD42)*$U$10)/AD42</f>
        <v>4.125</v>
      </c>
      <c r="V42" s="127">
        <f>$V$10/AD42</f>
        <v>1.4367816091954022</v>
      </c>
      <c r="W42" s="127">
        <f>$W$10/AD42</f>
        <v>0.25875862068965516</v>
      </c>
      <c r="X42" s="127">
        <f ca="1">N42*$X$10</f>
        <v>0.53542000000000001</v>
      </c>
      <c r="Y42" s="127">
        <f>$Y$10/AD42</f>
        <v>2.3649712643678162</v>
      </c>
      <c r="Z42" s="127">
        <f ca="1">IF($G42="ManTech",(SUM($N42:$Y42)*(VLOOKUP($L42,$L$9:$AB$24,Z$6,FALSE))),(IF(R42=0,((SUM(N42,#REF!))*(VLOOKUP($L42,$L$9:$AB$24,Z$6,FALSE))),(SUM($R42:$R42)*(VLOOKUP($L42,$L$9:$AB$24,Z$6,FALSE))))))</f>
        <v>6.944992650973921</v>
      </c>
      <c r="AA42" s="127">
        <f t="shared" ca="1" si="19"/>
        <v>80.281768268438753</v>
      </c>
      <c r="AB42" s="127">
        <f t="shared" ca="1" si="20"/>
        <v>6.4225414614751006</v>
      </c>
      <c r="AC42" s="127">
        <f t="shared" ca="1" si="21"/>
        <v>86.7</v>
      </c>
      <c r="AD42" s="104">
        <v>3480</v>
      </c>
      <c r="AE42" s="92">
        <f t="shared" ca="1" si="22"/>
        <v>301716</v>
      </c>
      <c r="AF42" s="134">
        <f t="shared" ca="1" si="23"/>
        <v>1040.4000000000001</v>
      </c>
      <c r="AG42" s="78"/>
      <c r="AH42" s="78"/>
      <c r="AI42" s="78">
        <f t="shared" ca="1" si="24"/>
        <v>279380.55357416684</v>
      </c>
      <c r="AJ42" s="78">
        <f t="shared" ca="1" si="25"/>
        <v>301716</v>
      </c>
      <c r="AK42" s="78">
        <f t="shared" ca="1" si="26"/>
        <v>22335.446425833157</v>
      </c>
      <c r="AL42" s="94">
        <f t="shared" ca="1" si="27"/>
        <v>0.08</v>
      </c>
      <c r="AM42" s="78"/>
      <c r="AN42" s="78"/>
      <c r="AO42" s="78"/>
      <c r="AP42" s="78">
        <f t="shared" si="28"/>
        <v>8230.1</v>
      </c>
      <c r="AQ42" s="78"/>
      <c r="AR42" s="78"/>
      <c r="AS42" s="78"/>
      <c r="AT42" s="78"/>
      <c r="AU42" s="53"/>
      <c r="AV42" s="52"/>
      <c r="AW42" s="51"/>
      <c r="AZ42" s="46" t="str">
        <f t="shared" ca="1" si="29"/>
        <v>1</v>
      </c>
      <c r="BA42" s="46" t="str">
        <f t="shared" ca="1" si="30"/>
        <v>1</v>
      </c>
    </row>
    <row r="43" spans="4:53">
      <c r="D43" s="45">
        <f t="shared" si="31"/>
        <v>12</v>
      </c>
      <c r="E43" s="137" t="s">
        <v>76</v>
      </c>
      <c r="F43" s="45"/>
      <c r="G43" s="105" t="s">
        <v>99</v>
      </c>
      <c r="H43" s="45"/>
      <c r="I43" s="136">
        <v>0</v>
      </c>
      <c r="J43" s="135" t="str">
        <f t="shared" si="7"/>
        <v>ManTech120Govt</v>
      </c>
      <c r="K43" s="135"/>
      <c r="L43" s="105" t="s">
        <v>120</v>
      </c>
      <c r="M43" s="127">
        <v>28</v>
      </c>
      <c r="N43" s="127">
        <f t="shared" ca="1" si="8"/>
        <v>28.69</v>
      </c>
      <c r="O43" s="127">
        <f t="shared" ca="1" si="9"/>
        <v>10.041499999999999</v>
      </c>
      <c r="P43" s="127">
        <f t="shared" ca="1" si="9"/>
        <v>10.041499999999999</v>
      </c>
      <c r="Q43" s="127">
        <f t="shared" ca="1" si="10"/>
        <v>15.2366852</v>
      </c>
      <c r="R43" s="127">
        <f t="shared" ca="1" si="11"/>
        <v>1.4274159799600001</v>
      </c>
      <c r="S43" s="127">
        <f ca="1">$S$10/SUM($AD$32:$AD$46)</f>
        <v>0.27029885057471265</v>
      </c>
      <c r="T43" s="127">
        <f ca="1">$T$10/SUM($AD$32:$AD$46)</f>
        <v>7.1668965517241376E-2</v>
      </c>
      <c r="U43" s="127">
        <f>((M43*AD43)*$U$10)/AD43</f>
        <v>4.2</v>
      </c>
      <c r="V43" s="127">
        <f>$V$10/AD43</f>
        <v>1.4367816091954022</v>
      </c>
      <c r="W43" s="127">
        <f>$W$10/AD43</f>
        <v>0.25875862068965516</v>
      </c>
      <c r="X43" s="127">
        <f ca="1">N43*$X$10</f>
        <v>0.54510999999999998</v>
      </c>
      <c r="Y43" s="127">
        <f>$Y$10/AD43</f>
        <v>2.3649712643678162</v>
      </c>
      <c r="Z43" s="127">
        <f ca="1">IF($G43="ManTech",(SUM($N43:$Y43)*(VLOOKUP($L43,$L$9:$AB$24,Z$6,FALSE))),(IF(R43=0,((SUM(N43,#REF!))*(VLOOKUP($L43,$L$9:$AB$24,Z$6,FALSE))),(SUM($R43:$R43)*(VLOOKUP($L43,$L$9:$AB$24,Z$6,FALSE))))))</f>
        <v>7.0631701894318688</v>
      </c>
      <c r="AA43" s="127">
        <f t="shared" ca="1" si="19"/>
        <v>81.647860679736709</v>
      </c>
      <c r="AB43" s="127">
        <f t="shared" ca="1" si="20"/>
        <v>6.5318288543789365</v>
      </c>
      <c r="AC43" s="127">
        <f t="shared" ca="1" si="21"/>
        <v>88.18</v>
      </c>
      <c r="AD43" s="104">
        <v>3480</v>
      </c>
      <c r="AE43" s="92">
        <f t="shared" ca="1" si="22"/>
        <v>306866.40000000002</v>
      </c>
      <c r="AF43" s="134">
        <f t="shared" ca="1" si="23"/>
        <v>1058.1600000000001</v>
      </c>
      <c r="AG43" s="78"/>
      <c r="AH43" s="78"/>
      <c r="AI43" s="78">
        <f t="shared" ca="1" si="24"/>
        <v>284134.55516548373</v>
      </c>
      <c r="AJ43" s="78">
        <f t="shared" ca="1" si="25"/>
        <v>306866.40000000002</v>
      </c>
      <c r="AK43" s="78">
        <f t="shared" ca="1" si="26"/>
        <v>22731.844834516291</v>
      </c>
      <c r="AL43" s="94">
        <f t="shared" ca="1" si="27"/>
        <v>0.08</v>
      </c>
      <c r="AM43" s="78"/>
      <c r="AN43" s="78"/>
      <c r="AO43" s="78"/>
      <c r="AP43" s="78">
        <f t="shared" si="28"/>
        <v>8230.1</v>
      </c>
      <c r="AQ43" s="78"/>
      <c r="AR43" s="78"/>
      <c r="AS43" s="78"/>
      <c r="AT43" s="78"/>
      <c r="AU43" s="53"/>
      <c r="AV43" s="52"/>
      <c r="AW43" s="51"/>
      <c r="AZ43" s="46" t="str">
        <f t="shared" ca="1" si="29"/>
        <v>1</v>
      </c>
      <c r="BA43" s="46" t="str">
        <f t="shared" ca="1" si="30"/>
        <v>1</v>
      </c>
    </row>
    <row r="44" spans="4:53">
      <c r="D44" s="45">
        <f t="shared" si="31"/>
        <v>13</v>
      </c>
      <c r="E44" s="137" t="s">
        <v>77</v>
      </c>
      <c r="F44" s="45"/>
      <c r="G44" s="105" t="s">
        <v>99</v>
      </c>
      <c r="H44" s="45"/>
      <c r="I44" s="136">
        <v>0</v>
      </c>
      <c r="J44" s="135" t="str">
        <f t="shared" si="7"/>
        <v>ManTech130Govt</v>
      </c>
      <c r="K44" s="135"/>
      <c r="L44" s="105" t="s">
        <v>120</v>
      </c>
      <c r="M44" s="127">
        <v>26</v>
      </c>
      <c r="N44" s="127">
        <f t="shared" ca="1" si="8"/>
        <v>26.64</v>
      </c>
      <c r="O44" s="127">
        <f t="shared" ca="1" si="9"/>
        <v>9.3239999999999998</v>
      </c>
      <c r="P44" s="127">
        <f t="shared" ca="1" si="9"/>
        <v>9.3239999999999998</v>
      </c>
      <c r="Q44" s="127">
        <f t="shared" ca="1" si="10"/>
        <v>14.147971199999999</v>
      </c>
      <c r="R44" s="127">
        <f t="shared" ca="1" si="11"/>
        <v>1.3254221577600001</v>
      </c>
      <c r="S44" s="127">
        <f ca="1">$S$10/SUM($AD$32:$AD$46)</f>
        <v>0.27029885057471265</v>
      </c>
      <c r="T44" s="127">
        <f ca="1">$T$10/SUM($AD$32:$AD$46)</f>
        <v>7.1668965517241376E-2</v>
      </c>
      <c r="U44" s="127">
        <f>((M44*AD44)*$U$10)/AD44</f>
        <v>3.9</v>
      </c>
      <c r="V44" s="127">
        <f>$V$10/AD44</f>
        <v>1.4367816091954022</v>
      </c>
      <c r="W44" s="127">
        <f>$W$10/AD44</f>
        <v>0.25875862068965516</v>
      </c>
      <c r="X44" s="127">
        <f ca="1">N44*$X$10</f>
        <v>0.50615999999999994</v>
      </c>
      <c r="Y44" s="127">
        <f>$Y$10/AD44</f>
        <v>2.3649712643678162</v>
      </c>
      <c r="Z44" s="127">
        <f ca="1">IF($G44="ManTech",(SUM($N44:$Y44)*(VLOOKUP($L44,$L$9:$AB$24,Z$6,FALSE))),(IF(R44=0,((SUM(N44,#REF!))*(VLOOKUP($L44,$L$9:$AB$24,Z$6,FALSE))),(SUM($R44:$R44)*(VLOOKUP($L44,$L$9:$AB$24,Z$6,FALSE))))))</f>
        <v>6.5882820936695277</v>
      </c>
      <c r="AA44" s="127">
        <f t="shared" ca="1" si="19"/>
        <v>76.158314761774363</v>
      </c>
      <c r="AB44" s="127">
        <f t="shared" ca="1" si="20"/>
        <v>6.0926651809419496</v>
      </c>
      <c r="AC44" s="127">
        <f t="shared" ca="1" si="21"/>
        <v>82.25</v>
      </c>
      <c r="AD44" s="104">
        <v>3480</v>
      </c>
      <c r="AE44" s="92">
        <f t="shared" ca="1" si="22"/>
        <v>286230</v>
      </c>
      <c r="AF44" s="134">
        <f t="shared" ca="1" si="23"/>
        <v>987</v>
      </c>
      <c r="AG44" s="78"/>
      <c r="AH44" s="78"/>
      <c r="AI44" s="78">
        <f t="shared" ca="1" si="24"/>
        <v>265030.93537097477</v>
      </c>
      <c r="AJ44" s="78">
        <f t="shared" ca="1" si="25"/>
        <v>286230</v>
      </c>
      <c r="AK44" s="78">
        <f t="shared" ca="1" si="26"/>
        <v>21199.064629025233</v>
      </c>
      <c r="AL44" s="94">
        <f t="shared" ca="1" si="27"/>
        <v>0.08</v>
      </c>
      <c r="AM44" s="78"/>
      <c r="AN44" s="78"/>
      <c r="AO44" s="78"/>
      <c r="AP44" s="78">
        <f t="shared" si="28"/>
        <v>8230.1</v>
      </c>
      <c r="AQ44" s="78"/>
      <c r="AR44" s="78"/>
      <c r="AS44" s="78"/>
      <c r="AT44" s="78"/>
      <c r="AU44" s="53"/>
      <c r="AV44" s="52"/>
      <c r="AW44" s="51"/>
      <c r="AZ44" s="46" t="str">
        <f t="shared" ca="1" si="29"/>
        <v>1</v>
      </c>
      <c r="BA44" s="46" t="str">
        <f t="shared" ca="1" si="30"/>
        <v>1</v>
      </c>
    </row>
    <row r="45" spans="4:53">
      <c r="D45" s="45">
        <f t="shared" si="31"/>
        <v>14</v>
      </c>
      <c r="E45" s="137" t="s">
        <v>78</v>
      </c>
      <c r="F45" s="45"/>
      <c r="G45" s="105" t="s">
        <v>99</v>
      </c>
      <c r="H45" s="45"/>
      <c r="I45" s="136">
        <v>0</v>
      </c>
      <c r="J45" s="135" t="str">
        <f t="shared" si="7"/>
        <v>ManTech140Govt</v>
      </c>
      <c r="K45" s="135"/>
      <c r="L45" s="105" t="s">
        <v>120</v>
      </c>
      <c r="M45" s="127">
        <v>26</v>
      </c>
      <c r="N45" s="127">
        <f t="shared" ca="1" si="8"/>
        <v>26.64</v>
      </c>
      <c r="O45" s="127">
        <f t="shared" ca="1" si="9"/>
        <v>9.3239999999999998</v>
      </c>
      <c r="P45" s="127">
        <f t="shared" ca="1" si="9"/>
        <v>9.3239999999999998</v>
      </c>
      <c r="Q45" s="127">
        <f t="shared" ca="1" si="10"/>
        <v>14.147971199999999</v>
      </c>
      <c r="R45" s="127">
        <f t="shared" ca="1" si="11"/>
        <v>1.3254221577600001</v>
      </c>
      <c r="S45" s="127">
        <f ca="1">$S$10/SUM($AD$32:$AD$46)</f>
        <v>0.27029885057471265</v>
      </c>
      <c r="T45" s="127">
        <f ca="1">$T$10/SUM($AD$32:$AD$46)</f>
        <v>7.1668965517241376E-2</v>
      </c>
      <c r="U45" s="127">
        <f>((M45*AD45)*$U$10)/AD45</f>
        <v>3.9</v>
      </c>
      <c r="V45" s="127">
        <f>$V$10/AD45</f>
        <v>1.4367816091954022</v>
      </c>
      <c r="W45" s="127">
        <f>$W$10/AD45</f>
        <v>0.25875862068965516</v>
      </c>
      <c r="X45" s="127">
        <f ca="1">N45*$X$10</f>
        <v>0.50615999999999994</v>
      </c>
      <c r="Y45" s="127">
        <f>$Y$10/AD45</f>
        <v>2.3649712643678162</v>
      </c>
      <c r="Z45" s="127">
        <f ca="1">IF($G45="ManTech",(SUM($N45:$Y45)*(VLOOKUP($L45,$L$9:$AB$24,Z$6,FALSE))),(IF(R45=0,((SUM(N45,#REF!))*(VLOOKUP($L45,$L$9:$AB$24,Z$6,FALSE))),(SUM($R45:$R45)*(VLOOKUP($L45,$L$9:$AB$24,Z$6,FALSE))))))</f>
        <v>6.5882820936695277</v>
      </c>
      <c r="AA45" s="127">
        <f t="shared" ca="1" si="19"/>
        <v>76.158314761774363</v>
      </c>
      <c r="AB45" s="127">
        <f t="shared" ca="1" si="20"/>
        <v>6.0926651809419496</v>
      </c>
      <c r="AC45" s="127">
        <f t="shared" ca="1" si="21"/>
        <v>82.25</v>
      </c>
      <c r="AD45" s="104">
        <v>3480</v>
      </c>
      <c r="AE45" s="92">
        <f t="shared" ca="1" si="22"/>
        <v>286230</v>
      </c>
      <c r="AF45" s="134">
        <f t="shared" ca="1" si="23"/>
        <v>987</v>
      </c>
      <c r="AG45" s="78"/>
      <c r="AH45" s="78"/>
      <c r="AI45" s="78">
        <f t="shared" ca="1" si="24"/>
        <v>265030.93537097477</v>
      </c>
      <c r="AJ45" s="78">
        <f t="shared" ca="1" si="25"/>
        <v>286230</v>
      </c>
      <c r="AK45" s="78">
        <f t="shared" ca="1" si="26"/>
        <v>21199.064629025233</v>
      </c>
      <c r="AL45" s="94">
        <f t="shared" ca="1" si="27"/>
        <v>0.08</v>
      </c>
      <c r="AM45" s="78"/>
      <c r="AN45" s="78"/>
      <c r="AO45" s="78"/>
      <c r="AP45" s="78">
        <f t="shared" si="28"/>
        <v>8230.1</v>
      </c>
      <c r="AQ45" s="78"/>
      <c r="AR45" s="78"/>
      <c r="AS45" s="78"/>
      <c r="AT45" s="78"/>
      <c r="AU45" s="53"/>
      <c r="AV45" s="52"/>
      <c r="AW45" s="51"/>
      <c r="AZ45" s="46" t="str">
        <f t="shared" ca="1" si="29"/>
        <v>1</v>
      </c>
      <c r="BA45" s="46" t="str">
        <f t="shared" ca="1" si="30"/>
        <v>1</v>
      </c>
    </row>
    <row r="46" spans="4:53">
      <c r="D46" s="45">
        <f t="shared" si="31"/>
        <v>15</v>
      </c>
      <c r="E46" s="137" t="s">
        <v>79</v>
      </c>
      <c r="F46" s="45"/>
      <c r="G46" s="105" t="s">
        <v>99</v>
      </c>
      <c r="H46" s="45"/>
      <c r="I46" s="136">
        <v>0</v>
      </c>
      <c r="J46" s="135" t="str">
        <f t="shared" si="7"/>
        <v>ManTech150Govt</v>
      </c>
      <c r="K46" s="135"/>
      <c r="L46" s="105" t="s">
        <v>120</v>
      </c>
      <c r="M46" s="127">
        <v>25</v>
      </c>
      <c r="N46" s="127">
        <f t="shared" ca="1" si="8"/>
        <v>25.62</v>
      </c>
      <c r="O46" s="127">
        <f t="shared" ca="1" si="9"/>
        <v>8.9670000000000005</v>
      </c>
      <c r="P46" s="127">
        <f t="shared" ca="1" si="9"/>
        <v>8.9670000000000005</v>
      </c>
      <c r="Q46" s="127">
        <f t="shared" ca="1" si="10"/>
        <v>13.606269600000001</v>
      </c>
      <c r="R46" s="127">
        <f t="shared" ca="1" si="11"/>
        <v>1.27467401208</v>
      </c>
      <c r="S46" s="127">
        <f ca="1">$S$10/SUM($AD$32:$AD$46)</f>
        <v>0.27029885057471265</v>
      </c>
      <c r="T46" s="127">
        <f ca="1">$T$10/SUM($AD$32:$AD$46)</f>
        <v>7.1668965517241376E-2</v>
      </c>
      <c r="U46" s="127">
        <f>((M46*AD46)*$U$10)/AD46</f>
        <v>3.75</v>
      </c>
      <c r="V46" s="127">
        <f>$V$10/AD46</f>
        <v>1.4367816091954022</v>
      </c>
      <c r="W46" s="127">
        <f>$W$10/AD46</f>
        <v>0.25875862068965516</v>
      </c>
      <c r="X46" s="127">
        <f ca="1">N46*$X$10</f>
        <v>0.48677999999999999</v>
      </c>
      <c r="Y46" s="127">
        <f>$Y$10/AD46</f>
        <v>2.3649712643678162</v>
      </c>
      <c r="Z46" s="127">
        <f ca="1">IF($G46="ManTech",(SUM($N46:$Y46)*(VLOOKUP($L46,$L$9:$AB$24,Z$6,FALSE))),(IF(R46=0,((SUM(N46,#REF!))*(VLOOKUP($L46,$L$9:$AB$24,Z$6,FALSE))),(SUM($R46:$R46)*(VLOOKUP($L46,$L$9:$AB$24,Z$6,FALSE))))))</f>
        <v>6.3519270167536304</v>
      </c>
      <c r="AA46" s="127">
        <f t="shared" ca="1" si="19"/>
        <v>73.426129939178452</v>
      </c>
      <c r="AB46" s="127">
        <f t="shared" ca="1" si="20"/>
        <v>5.8740903951342762</v>
      </c>
      <c r="AC46" s="127">
        <f t="shared" ca="1" si="21"/>
        <v>79.3</v>
      </c>
      <c r="AD46" s="104">
        <v>3480</v>
      </c>
      <c r="AE46" s="92">
        <f t="shared" ca="1" si="22"/>
        <v>275964</v>
      </c>
      <c r="AF46" s="134">
        <f t="shared" ca="1" si="23"/>
        <v>951.59999999999991</v>
      </c>
      <c r="AG46" s="78"/>
      <c r="AH46" s="78"/>
      <c r="AI46" s="78">
        <f t="shared" ca="1" si="24"/>
        <v>255522.93218834102</v>
      </c>
      <c r="AJ46" s="78">
        <f t="shared" ca="1" si="25"/>
        <v>275964</v>
      </c>
      <c r="AK46" s="78">
        <f t="shared" ca="1" si="26"/>
        <v>20441.067811658984</v>
      </c>
      <c r="AL46" s="94">
        <f t="shared" ca="1" si="27"/>
        <v>0.08</v>
      </c>
      <c r="AM46" s="78"/>
      <c r="AN46" s="78"/>
      <c r="AO46" s="78"/>
      <c r="AP46" s="78">
        <f t="shared" si="28"/>
        <v>8230.1</v>
      </c>
      <c r="AQ46" s="78"/>
      <c r="AR46" s="78"/>
      <c r="AS46" s="78"/>
      <c r="AT46" s="78"/>
      <c r="AU46" s="53"/>
      <c r="AV46" s="52"/>
      <c r="AW46" s="51"/>
      <c r="AZ46" s="46" t="str">
        <f t="shared" ca="1" si="29"/>
        <v>1</v>
      </c>
      <c r="BA46" s="46" t="str">
        <f t="shared" ca="1" si="30"/>
        <v>1</v>
      </c>
    </row>
    <row r="47" spans="4:53">
      <c r="E47" s="137"/>
      <c r="F47" s="45"/>
      <c r="G47" s="105"/>
      <c r="H47" s="45"/>
      <c r="I47" s="136"/>
      <c r="J47" s="135"/>
      <c r="K47" s="135"/>
      <c r="L47" s="105"/>
      <c r="M47" s="127"/>
      <c r="N47" s="127"/>
      <c r="O47" s="127"/>
      <c r="P47" s="127"/>
      <c r="Q47" s="127"/>
      <c r="R47" s="127"/>
      <c r="S47" s="127"/>
      <c r="T47" s="127"/>
      <c r="U47" s="127"/>
      <c r="V47" s="127"/>
      <c r="W47" s="127"/>
      <c r="X47" s="127"/>
      <c r="Y47" s="127"/>
      <c r="Z47" s="127"/>
      <c r="AA47" s="127"/>
      <c r="AB47" s="127"/>
      <c r="AC47" s="127"/>
      <c r="AD47" s="104"/>
      <c r="AE47" s="92"/>
      <c r="AF47" s="134"/>
      <c r="AG47" s="78"/>
      <c r="AH47" s="78"/>
      <c r="AI47" s="78"/>
      <c r="AJ47" s="78"/>
      <c r="AK47" s="78"/>
      <c r="AL47" s="94"/>
      <c r="AM47" s="78"/>
      <c r="AN47" s="78"/>
      <c r="AO47" s="78"/>
      <c r="AP47" s="78"/>
      <c r="AQ47" s="78"/>
      <c r="AR47" s="78"/>
      <c r="AS47" s="78"/>
      <c r="AT47" s="78"/>
      <c r="AU47" s="53"/>
      <c r="AV47" s="52"/>
      <c r="AW47" s="51"/>
    </row>
    <row r="48" spans="4:53">
      <c r="D48" s="45">
        <v>16</v>
      </c>
      <c r="E48" s="137" t="s">
        <v>167</v>
      </c>
      <c r="F48" s="45"/>
      <c r="G48" s="105" t="s">
        <v>99</v>
      </c>
      <c r="H48" s="45"/>
      <c r="I48" s="136" t="s">
        <v>265</v>
      </c>
      <c r="J48" s="135" t="str">
        <f>G48&amp;D48&amp;I48&amp;L48</f>
        <v>ManTech16Martin,Lindy EGovt</v>
      </c>
      <c r="K48" s="135"/>
      <c r="L48" s="105" t="s">
        <v>120</v>
      </c>
      <c r="M48" s="127">
        <v>108.5</v>
      </c>
      <c r="N48" s="127">
        <f ca="1">ROUND($M48*(VLOOKUP($L48,$L$9:$AB$24,N$6,FALSE)),2)</f>
        <v>111.19</v>
      </c>
      <c r="O48" s="127">
        <v>0</v>
      </c>
      <c r="P48" s="127">
        <v>0</v>
      </c>
      <c r="Q48" s="127">
        <f ca="1">($N48+O48+P48)*(VLOOKUP($L48,$L$9:$AB$24,Q$6,FALSE))</f>
        <v>34.735756000000002</v>
      </c>
      <c r="R48" s="127">
        <f ca="1">($N48+$Q48+O48+P48)*(VLOOKUP($L48,$L$9:$AB$24,R$6,FALSE))</f>
        <v>3.2541443588000001</v>
      </c>
      <c r="S48" s="127"/>
      <c r="T48" s="127"/>
      <c r="U48" s="127">
        <v>0</v>
      </c>
      <c r="V48" s="127">
        <v>0</v>
      </c>
      <c r="W48" s="127">
        <v>0</v>
      </c>
      <c r="X48" s="127">
        <v>0</v>
      </c>
      <c r="Y48" s="127">
        <v>0</v>
      </c>
      <c r="Z48" s="127">
        <f ca="1">IF($G48="ManTech",(SUM($N48:$Y48)*(VLOOKUP($L48,$L$9:$AB$24,Z$6,FALSE))),(IF(R48=0,((SUM(N48,#REF!))*(VLOOKUP($L48,$L$9:$AB$24,Z$6,FALSE))),(SUM($R48:$R48)*(VLOOKUP($L48,$L$9:$AB$24,Z$6,FALSE))))))</f>
        <v>14.127336563978362</v>
      </c>
      <c r="AA48" s="127">
        <f ca="1">SUM(N48:Z48)</f>
        <v>163.30723692277837</v>
      </c>
      <c r="AB48" s="127">
        <f ca="1">(AA48*(VLOOKUP($L48,$L$9:$AB$24,AB$6,FALSE)))</f>
        <v>13.06457895382227</v>
      </c>
      <c r="AC48" s="127">
        <f ca="1">ROUND(SUM(AA48:AB48),2)</f>
        <v>176.37</v>
      </c>
      <c r="AD48" s="104">
        <v>80</v>
      </c>
      <c r="AE48" s="92">
        <f ca="1">$AC48*$AD48</f>
        <v>14109.6</v>
      </c>
      <c r="AF48" s="134">
        <f ca="1">AC48*$AF$29</f>
        <v>2116.44</v>
      </c>
      <c r="AG48" s="78"/>
      <c r="AH48" s="78"/>
      <c r="AI48" s="78">
        <f ca="1">AA48*AD48</f>
        <v>13064.578953822271</v>
      </c>
      <c r="AJ48" s="78">
        <f ca="1">AC48*AD48</f>
        <v>14109.6</v>
      </c>
      <c r="AK48" s="78">
        <f ca="1">AJ48-AI48</f>
        <v>1045.0210461777297</v>
      </c>
      <c r="AL48" s="94">
        <f ca="1">IF(AK48=0,0,ROUND(AK48/AI48,2))</f>
        <v>0.08</v>
      </c>
      <c r="AM48" s="78"/>
      <c r="AN48" s="78"/>
      <c r="AO48" s="78"/>
      <c r="AP48" s="78">
        <f>Y48*AD48</f>
        <v>0</v>
      </c>
      <c r="AQ48" s="78"/>
      <c r="AR48" s="78"/>
      <c r="AS48" s="78"/>
      <c r="AT48" s="78"/>
      <c r="AU48" s="53"/>
      <c r="AV48" s="52"/>
      <c r="AW48" s="51"/>
      <c r="AZ48" s="46" t="str">
        <f t="shared" ref="AZ48:AZ54" ca="1" si="32">IF((OR((AC48=""),(AC48&gt;0))),"1","0")</f>
        <v>1</v>
      </c>
      <c r="BA48" s="46" t="str">
        <f t="shared" ref="BA48:BA54" ca="1" si="33">IF((OR((AE48=""),(AE48&gt;0))),"1","0")</f>
        <v>1</v>
      </c>
    </row>
    <row r="49" spans="2:53">
      <c r="D49" s="45">
        <f>D48+1</f>
        <v>17</v>
      </c>
      <c r="E49" s="137" t="s">
        <v>168</v>
      </c>
      <c r="F49" s="45"/>
      <c r="G49" s="105" t="s">
        <v>243</v>
      </c>
      <c r="H49" s="45"/>
      <c r="I49" s="136">
        <v>0</v>
      </c>
      <c r="J49" s="135" t="str">
        <f>G49&amp;D49&amp;I49&amp;L49</f>
        <v>Yvan170Govt_Sub</v>
      </c>
      <c r="K49" s="135"/>
      <c r="L49" s="105" t="s">
        <v>119</v>
      </c>
      <c r="M49" s="127">
        <v>139.63999999999999</v>
      </c>
      <c r="N49" s="127">
        <f ca="1">ROUND($M49*(VLOOKUP($L49,$L$9:$AB$24,N$6,FALSE)),2)</f>
        <v>139.63999999999999</v>
      </c>
      <c r="O49" s="127">
        <f ca="1">$N49*(VLOOKUP($L49,$L$9:$AB$24,O$6,FALSE))</f>
        <v>0</v>
      </c>
      <c r="P49" s="127">
        <f ca="1">$N49*(VLOOKUP($L49,$L$9:$AB$24,P$6,FALSE))</f>
        <v>0</v>
      </c>
      <c r="Q49" s="127">
        <f ca="1">($N49+O49+P49)*(VLOOKUP($L49,$L$9:$AB$24,Q$6,FALSE))</f>
        <v>0</v>
      </c>
      <c r="R49" s="127">
        <f ca="1">($N49+$Q49+O49+P49)*(VLOOKUP($L49,$L$9:$AB$24,R$6,FALSE))</f>
        <v>4.2869479999999998</v>
      </c>
      <c r="S49" s="127"/>
      <c r="T49" s="127"/>
      <c r="U49" s="127">
        <v>0</v>
      </c>
      <c r="V49" s="127">
        <v>0</v>
      </c>
      <c r="W49" s="127">
        <v>0</v>
      </c>
      <c r="X49" s="127">
        <v>0</v>
      </c>
      <c r="Y49" s="127">
        <v>0</v>
      </c>
      <c r="Z49" s="127">
        <f ca="1">IF($G49="ManTech",(SUM($N49:$Y49)*(VLOOKUP($L49,$L$9:$AB$24,Z$6,FALSE))),(IF(R49=0,((SUM(N49,#REF!))*(VLOOKUP($L49,$L$9:$AB$24,Z$6,FALSE))),(SUM($R49:$R49)*(VLOOKUP($L49,$L$9:$AB$24,Z$6,FALSE))))))</f>
        <v>0.40597397559999998</v>
      </c>
      <c r="AA49" s="127">
        <f ca="1">SUM(N49:Z49)</f>
        <v>144.33292197559999</v>
      </c>
      <c r="AB49" s="127">
        <f ca="1">(AA49*(VLOOKUP($L49,$L$9:$AB$24,AB$6,FALSE)))</f>
        <v>11.546633758047999</v>
      </c>
      <c r="AC49" s="127">
        <f ca="1">ROUND(SUM(AA49:AB49),2)</f>
        <v>155.88</v>
      </c>
      <c r="AD49" s="104">
        <v>24</v>
      </c>
      <c r="AE49" s="92">
        <f ca="1">$AC49*$AD49</f>
        <v>3741.12</v>
      </c>
      <c r="AF49" s="134">
        <f ca="1">AC49*$AF$29</f>
        <v>1870.56</v>
      </c>
      <c r="AG49" s="78"/>
      <c r="AH49" s="78"/>
      <c r="AI49" s="78">
        <f ca="1">AA49*AD49</f>
        <v>3463.9901274143995</v>
      </c>
      <c r="AJ49" s="78">
        <f ca="1">AC49*AD49</f>
        <v>3741.12</v>
      </c>
      <c r="AK49" s="78">
        <f ca="1">AJ49-AI49</f>
        <v>277.12987258560042</v>
      </c>
      <c r="AL49" s="94">
        <f ca="1">IF(AK49=0,0,ROUND(AK49/AI49,2))</f>
        <v>0.08</v>
      </c>
      <c r="AM49" s="78"/>
      <c r="AN49" s="78"/>
      <c r="AO49" s="78"/>
      <c r="AP49" s="78">
        <f>Y49*AD49</f>
        <v>0</v>
      </c>
      <c r="AQ49" s="78"/>
      <c r="AR49" s="78"/>
      <c r="AS49" s="78"/>
      <c r="AT49" s="78"/>
      <c r="AU49" s="53"/>
      <c r="AV49" s="52"/>
      <c r="AW49" s="51"/>
      <c r="AZ49" s="46" t="str">
        <f t="shared" ca="1" si="32"/>
        <v>1</v>
      </c>
      <c r="BA49" s="46" t="str">
        <f t="shared" ca="1" si="33"/>
        <v>1</v>
      </c>
    </row>
    <row r="50" spans="2:53">
      <c r="E50" s="133"/>
      <c r="F50" s="49"/>
      <c r="G50" s="49"/>
      <c r="H50" s="49"/>
      <c r="I50" s="132"/>
      <c r="J50" s="131"/>
      <c r="K50" s="131"/>
      <c r="L50" s="130"/>
      <c r="M50" s="129"/>
      <c r="N50" s="129"/>
      <c r="O50" s="129"/>
      <c r="P50" s="129"/>
      <c r="Q50" s="129"/>
      <c r="R50" s="129"/>
      <c r="S50" s="129"/>
      <c r="T50" s="129"/>
      <c r="U50" s="129"/>
      <c r="V50" s="129"/>
      <c r="W50" s="129"/>
      <c r="X50" s="129"/>
      <c r="Y50" s="129"/>
      <c r="Z50" s="129"/>
      <c r="AA50" s="129"/>
      <c r="AB50" s="129"/>
      <c r="AC50" s="129"/>
      <c r="AD50" s="128"/>
      <c r="AE50" s="100"/>
      <c r="AF50" s="101"/>
      <c r="AG50" s="99"/>
      <c r="AH50" s="99"/>
      <c r="AI50" s="99"/>
      <c r="AJ50" s="99"/>
      <c r="AK50" s="99"/>
      <c r="AL50" s="99"/>
      <c r="AM50" s="99"/>
      <c r="AN50" s="99"/>
      <c r="AO50" s="99"/>
      <c r="AP50" s="99"/>
      <c r="AQ50" s="99"/>
      <c r="AR50" s="99"/>
      <c r="AS50" s="99"/>
      <c r="AT50" s="99"/>
      <c r="AU50" s="99"/>
      <c r="AV50" s="98"/>
      <c r="AW50" s="51"/>
      <c r="AZ50" s="46" t="str">
        <f t="shared" si="32"/>
        <v>1</v>
      </c>
      <c r="BA50" s="46" t="str">
        <f t="shared" si="33"/>
        <v>1</v>
      </c>
    </row>
    <row r="51" spans="2:53">
      <c r="E51" s="91"/>
      <c r="F51" s="45"/>
      <c r="G51" s="45"/>
      <c r="H51" s="45"/>
      <c r="I51" s="45"/>
      <c r="J51" s="45"/>
      <c r="K51" s="45"/>
      <c r="L51" s="45"/>
      <c r="M51" s="127"/>
      <c r="N51" s="127"/>
      <c r="O51" s="127"/>
      <c r="P51" s="127"/>
      <c r="Q51" s="127"/>
      <c r="R51" s="127"/>
      <c r="S51" s="127"/>
      <c r="T51" s="127"/>
      <c r="U51" s="127"/>
      <c r="V51" s="127"/>
      <c r="W51" s="127"/>
      <c r="X51" s="127"/>
      <c r="Y51" s="127"/>
      <c r="Z51" s="127"/>
      <c r="AA51" s="127"/>
      <c r="AB51" s="127"/>
      <c r="AC51" s="127"/>
      <c r="AD51" s="127"/>
      <c r="AE51" s="127"/>
      <c r="AF51" s="90"/>
      <c r="AG51" s="78"/>
      <c r="AH51" s="78"/>
      <c r="AI51" s="78"/>
      <c r="AJ51" s="78"/>
      <c r="AK51" s="78"/>
      <c r="AL51" s="78"/>
      <c r="AM51" s="78"/>
      <c r="AN51" s="78"/>
      <c r="AO51" s="78"/>
      <c r="AP51" s="78">
        <f>SUM(AP32:AP46)</f>
        <v>90531.10000000002</v>
      </c>
      <c r="AQ51" s="78"/>
      <c r="AR51" s="78"/>
      <c r="AS51" s="78"/>
      <c r="AT51" s="78"/>
      <c r="AU51" s="53"/>
      <c r="AV51" s="52"/>
      <c r="AW51" s="51"/>
      <c r="AZ51" s="46" t="str">
        <f t="shared" si="32"/>
        <v>1</v>
      </c>
      <c r="BA51" s="46" t="str">
        <f t="shared" si="33"/>
        <v>1</v>
      </c>
    </row>
    <row r="52" spans="2:53">
      <c r="E52" s="91"/>
      <c r="F52" s="45"/>
      <c r="G52" s="45"/>
      <c r="H52" s="45"/>
      <c r="I52" s="45"/>
      <c r="J52" s="45"/>
      <c r="K52" s="45"/>
      <c r="L52" s="45"/>
      <c r="M52" s="45"/>
      <c r="N52" s="45"/>
      <c r="O52" s="45"/>
      <c r="P52" s="45"/>
      <c r="Q52" s="45"/>
      <c r="R52" s="45"/>
      <c r="S52" s="45"/>
      <c r="T52" s="45"/>
      <c r="U52" s="45"/>
      <c r="V52" s="45"/>
      <c r="W52" s="45"/>
      <c r="X52" s="45"/>
      <c r="Y52" s="45"/>
      <c r="Z52" s="45"/>
      <c r="AA52" s="45"/>
      <c r="AB52" s="45"/>
      <c r="AC52" s="97" t="s">
        <v>118</v>
      </c>
      <c r="AD52" s="126">
        <f>SUBTOTAL(9,AD$31:AD$51)</f>
        <v>52304</v>
      </c>
      <c r="AE52" s="125">
        <f ca="1">SUBTOTAL(9,AE$31:AE$51)</f>
        <v>4463585.5199999996</v>
      </c>
      <c r="AF52" s="90"/>
      <c r="AG52" s="78"/>
      <c r="AH52" s="78"/>
      <c r="AI52" s="78"/>
      <c r="AJ52" s="78"/>
      <c r="AK52" s="78"/>
      <c r="AL52" s="78"/>
      <c r="AM52" s="78"/>
      <c r="AN52" s="78"/>
      <c r="AO52" s="78"/>
      <c r="AP52" s="78"/>
      <c r="AQ52" s="78"/>
      <c r="AR52" s="78"/>
      <c r="AS52" s="78"/>
      <c r="AT52" s="78"/>
      <c r="AU52" s="53"/>
      <c r="AV52" s="52"/>
      <c r="AW52" s="51"/>
      <c r="AZ52" s="46" t="str">
        <f t="shared" si="32"/>
        <v>1</v>
      </c>
      <c r="BA52" s="46" t="str">
        <f t="shared" ca="1" si="33"/>
        <v>1</v>
      </c>
    </row>
    <row r="53" spans="2:53" ht="13.5" thickBot="1">
      <c r="B53" s="45" t="s">
        <v>117</v>
      </c>
      <c r="E53" s="91"/>
      <c r="F53" s="45"/>
      <c r="G53" s="45"/>
      <c r="H53" s="45"/>
      <c r="I53" s="45"/>
      <c r="J53" s="45"/>
      <c r="K53" s="45"/>
      <c r="L53" s="45"/>
      <c r="M53" s="45"/>
      <c r="N53" s="45"/>
      <c r="O53" s="45"/>
      <c r="P53" s="45"/>
      <c r="Q53" s="45"/>
      <c r="R53" s="45"/>
      <c r="S53" s="45"/>
      <c r="T53" s="45"/>
      <c r="U53" s="45"/>
      <c r="V53" s="45"/>
      <c r="W53" s="45"/>
      <c r="X53" s="45"/>
      <c r="Y53" s="45"/>
      <c r="Z53" s="45"/>
      <c r="AA53" s="45"/>
      <c r="AB53" s="45"/>
      <c r="AC53" s="97"/>
      <c r="AD53" s="124"/>
      <c r="AE53" s="53"/>
      <c r="AF53" s="90"/>
      <c r="AR53" s="89"/>
      <c r="AS53" s="88"/>
      <c r="AZ53" s="46" t="str">
        <f t="shared" si="32"/>
        <v>1</v>
      </c>
      <c r="BA53" s="46" t="str">
        <f t="shared" si="33"/>
        <v>1</v>
      </c>
    </row>
    <row r="54" spans="2:53" s="114" customFormat="1" ht="16.5" thickBot="1">
      <c r="B54" s="123">
        <v>1.4735</v>
      </c>
      <c r="E54" s="122" t="s">
        <v>116</v>
      </c>
      <c r="F54" s="119"/>
      <c r="G54" s="119"/>
      <c r="H54" s="121"/>
      <c r="I54" s="119"/>
      <c r="J54" s="120"/>
      <c r="K54" s="120"/>
      <c r="L54" s="119"/>
      <c r="M54" s="118"/>
      <c r="N54" s="118"/>
      <c r="O54" s="118"/>
      <c r="P54" s="118"/>
      <c r="Q54" s="118"/>
      <c r="R54" s="118"/>
      <c r="S54" s="118"/>
      <c r="T54" s="118"/>
      <c r="U54" s="118"/>
      <c r="V54" s="118"/>
      <c r="W54" s="118"/>
      <c r="X54" s="118"/>
      <c r="Y54" s="118"/>
      <c r="Z54" s="118"/>
      <c r="AA54" s="118"/>
      <c r="AB54" s="118"/>
      <c r="AC54" s="118"/>
      <c r="AD54" s="118"/>
      <c r="AE54" s="118"/>
      <c r="AF54" s="117"/>
      <c r="AG54" s="116"/>
      <c r="AH54" s="116"/>
      <c r="AI54" s="116"/>
      <c r="AJ54" s="116"/>
      <c r="AK54" s="116"/>
      <c r="AL54" s="116"/>
      <c r="AM54" s="116"/>
      <c r="AN54" s="116"/>
      <c r="AO54" s="116"/>
      <c r="AP54" s="116"/>
      <c r="AQ54" s="116"/>
      <c r="AR54" s="116"/>
      <c r="AS54" s="116"/>
      <c r="AT54" s="116"/>
      <c r="AU54" s="116"/>
      <c r="AV54" s="116"/>
      <c r="AW54" s="115"/>
      <c r="AZ54" s="46" t="str">
        <f t="shared" si="32"/>
        <v>1</v>
      </c>
      <c r="BA54" s="46" t="str">
        <f t="shared" si="33"/>
        <v>1</v>
      </c>
    </row>
    <row r="55" spans="2:53" ht="15.75">
      <c r="E55" s="113" t="s">
        <v>115</v>
      </c>
      <c r="F55" s="110"/>
      <c r="G55" s="110"/>
      <c r="H55" s="112"/>
      <c r="I55" s="110"/>
      <c r="J55" s="111"/>
      <c r="K55" s="111"/>
      <c r="L55" s="110"/>
      <c r="M55" s="109"/>
      <c r="N55" s="109"/>
      <c r="O55" s="109"/>
      <c r="P55" s="109"/>
      <c r="Q55" s="109"/>
      <c r="R55" s="109"/>
      <c r="S55" s="109"/>
      <c r="T55" s="109"/>
      <c r="U55" s="109"/>
      <c r="V55" s="109"/>
      <c r="W55" s="109"/>
      <c r="X55" s="109"/>
      <c r="Y55" s="109"/>
      <c r="Z55" s="109"/>
      <c r="AA55" s="109"/>
      <c r="AB55" s="109"/>
      <c r="AC55" s="109"/>
      <c r="AD55" s="109"/>
      <c r="AE55" s="109"/>
      <c r="AF55" s="108"/>
      <c r="AG55" s="93"/>
      <c r="AH55" s="93"/>
      <c r="AI55" s="78"/>
      <c r="AJ55" s="78"/>
      <c r="AK55" s="78"/>
      <c r="AL55" s="94"/>
      <c r="AM55" s="93"/>
      <c r="AN55" s="93"/>
      <c r="AO55" s="93"/>
      <c r="AP55" s="93"/>
      <c r="AQ55" s="93"/>
      <c r="AR55" s="78"/>
      <c r="AS55" s="93"/>
      <c r="AT55" s="78"/>
      <c r="AU55" s="53"/>
      <c r="AV55" s="52"/>
      <c r="AW55" s="51"/>
    </row>
    <row r="56" spans="2:53">
      <c r="E56" s="106" t="s">
        <v>114</v>
      </c>
      <c r="F56" s="45"/>
      <c r="G56" s="45"/>
      <c r="H56" s="45"/>
      <c r="I56" s="45"/>
      <c r="J56" s="45"/>
      <c r="K56" s="45"/>
      <c r="L56" s="105" t="s">
        <v>110</v>
      </c>
      <c r="M56" s="92">
        <v>499.95</v>
      </c>
      <c r="N56" s="92">
        <f ca="1">ROUND($M56*(VLOOKUP($L56,$L$9:$AB$24,N$6,FALSE)),2)</f>
        <v>499.95</v>
      </c>
      <c r="O56" s="92">
        <f t="shared" ref="O56:Q59" ca="1" si="34">ROUND($N56*(VLOOKUP($L56,$L$9:$AB$24,O$6,FALSE)),2)</f>
        <v>0</v>
      </c>
      <c r="P56" s="92">
        <f t="shared" ca="1" si="34"/>
        <v>0</v>
      </c>
      <c r="Q56" s="92">
        <f t="shared" ca="1" si="34"/>
        <v>0</v>
      </c>
      <c r="R56" s="92">
        <f ca="1">ROUND(($N56+$Q56)*(VLOOKUP($L56,$L$9:$AB$24,R$6,FALSE)),2)</f>
        <v>0</v>
      </c>
      <c r="S56" s="92"/>
      <c r="T56" s="92"/>
      <c r="U56" s="92">
        <f t="shared" ref="U56:Y59" ca="1" si="35">ROUND($N56*(VLOOKUP($L56,$L$9:$AB$24,U$6,FALSE)),2)</f>
        <v>0</v>
      </c>
      <c r="V56" s="92">
        <f t="shared" ca="1" si="35"/>
        <v>0</v>
      </c>
      <c r="W56" s="92">
        <f t="shared" ca="1" si="35"/>
        <v>0</v>
      </c>
      <c r="X56" s="92">
        <f t="shared" ca="1" si="35"/>
        <v>0</v>
      </c>
      <c r="Y56" s="92">
        <f t="shared" ca="1" si="35"/>
        <v>0</v>
      </c>
      <c r="Z56" s="92">
        <f ca="1">IF($R56=0,ROUND(SUM($N56:$R56)*(VLOOKUP($L56,$L$9:$AB$24,Z$6,FALSE)),2),ROUND(SUM($R56:$R56)*(VLOOKUP($L56,$L$9:$AB$24,Z$6,FALSE)),2))</f>
        <v>47.35</v>
      </c>
      <c r="AA56" s="92">
        <f ca="1">SUM(N56:Z56)</f>
        <v>547.29999999999995</v>
      </c>
      <c r="AB56" s="92">
        <f ca="1">ROUND(AA56*(VLOOKUP($L56,$L$9:$AB$24,AB$6,FALSE)),2)</f>
        <v>43.78</v>
      </c>
      <c r="AC56" s="92">
        <f ca="1">SUM(AA56:AB56)</f>
        <v>591.07999999999993</v>
      </c>
      <c r="AD56" s="104">
        <v>1</v>
      </c>
      <c r="AE56" s="92">
        <f ca="1">$AC56*$AD56</f>
        <v>591.07999999999993</v>
      </c>
      <c r="AF56" s="90"/>
      <c r="AG56" s="93"/>
      <c r="AH56" s="93"/>
      <c r="AI56" s="78">
        <f ca="1">AA56*AD56</f>
        <v>547.29999999999995</v>
      </c>
      <c r="AJ56" s="78">
        <f ca="1">AC56*AD56</f>
        <v>591.07999999999993</v>
      </c>
      <c r="AK56" s="78">
        <f ca="1">AJ56-AI56</f>
        <v>43.779999999999973</v>
      </c>
      <c r="AL56" s="94">
        <f ca="1">IF(AK56=0,0,ROUND(AK56/AI56,2))</f>
        <v>0.08</v>
      </c>
      <c r="AM56" s="93"/>
      <c r="AN56" s="93"/>
      <c r="AO56" s="93"/>
      <c r="AP56" s="93"/>
      <c r="AQ56" s="93"/>
      <c r="AR56" s="78"/>
      <c r="AS56" s="93"/>
      <c r="AT56" s="78"/>
      <c r="AU56" s="53"/>
      <c r="AV56" s="52"/>
      <c r="AW56" s="51"/>
      <c r="AZ56" s="46" t="str">
        <f ca="1">IF((OR((AC56=""),(AC56&gt;0))),"1","0")</f>
        <v>1</v>
      </c>
      <c r="BA56" s="46" t="str">
        <f ca="1">IF((OR((AE56=""),(AE56&gt;0))),"1","0")</f>
        <v>1</v>
      </c>
    </row>
    <row r="57" spans="2:53">
      <c r="E57" s="106" t="s">
        <v>113</v>
      </c>
      <c r="F57" s="45"/>
      <c r="G57" s="45"/>
      <c r="H57" s="45"/>
      <c r="I57" s="45"/>
      <c r="J57" s="45"/>
      <c r="K57" s="45"/>
      <c r="L57" s="105" t="s">
        <v>110</v>
      </c>
      <c r="M57" s="92">
        <v>359</v>
      </c>
      <c r="N57" s="92">
        <f ca="1">ROUND($M57*(VLOOKUP($L57,$L$9:$AB$24,N$6,FALSE)),2)</f>
        <v>359</v>
      </c>
      <c r="O57" s="92">
        <f t="shared" ca="1" si="34"/>
        <v>0</v>
      </c>
      <c r="P57" s="92">
        <f t="shared" ca="1" si="34"/>
        <v>0</v>
      </c>
      <c r="Q57" s="92">
        <f t="shared" ca="1" si="34"/>
        <v>0</v>
      </c>
      <c r="R57" s="92">
        <f ca="1">ROUND(($N57+$Q57)*(VLOOKUP($L57,$L$9:$AB$24,R$6,FALSE)),2)</f>
        <v>0</v>
      </c>
      <c r="S57" s="92"/>
      <c r="T57" s="92"/>
      <c r="U57" s="92">
        <f t="shared" ca="1" si="35"/>
        <v>0</v>
      </c>
      <c r="V57" s="92">
        <f t="shared" ca="1" si="35"/>
        <v>0</v>
      </c>
      <c r="W57" s="92">
        <f t="shared" ca="1" si="35"/>
        <v>0</v>
      </c>
      <c r="X57" s="92">
        <f t="shared" ca="1" si="35"/>
        <v>0</v>
      </c>
      <c r="Y57" s="92">
        <f t="shared" ca="1" si="35"/>
        <v>0</v>
      </c>
      <c r="Z57" s="92">
        <f ca="1">IF($R57=0,ROUND(SUM($N57:$R57)*(VLOOKUP($L57,$L$9:$AB$24,Z$6,FALSE)),2),ROUND(SUM($R57:$R57)*(VLOOKUP($L57,$L$9:$AB$24,Z$6,FALSE)),2))</f>
        <v>34</v>
      </c>
      <c r="AA57" s="92">
        <f ca="1">SUM(N57:Z57)</f>
        <v>393</v>
      </c>
      <c r="AB57" s="92">
        <f ca="1">ROUND(AA57*(VLOOKUP($L57,$L$9:$AB$24,AB$6,FALSE)),2)</f>
        <v>31.44</v>
      </c>
      <c r="AC57" s="92">
        <f ca="1">SUM(AA57:AB57)</f>
        <v>424.44</v>
      </c>
      <c r="AD57" s="104">
        <v>1</v>
      </c>
      <c r="AE57" s="92">
        <f ca="1">$AC57*$AD57</f>
        <v>424.44</v>
      </c>
      <c r="AF57" s="90"/>
      <c r="AG57" s="93"/>
      <c r="AH57" s="93"/>
      <c r="AI57" s="78">
        <f ca="1">AA57*AD57</f>
        <v>393</v>
      </c>
      <c r="AJ57" s="78">
        <f ca="1">AC57*AD57</f>
        <v>424.44</v>
      </c>
      <c r="AK57" s="78">
        <f ca="1">AJ57-AI57</f>
        <v>31.439999999999998</v>
      </c>
      <c r="AL57" s="94">
        <f ca="1">IF(AK57=0,0,ROUND(AK57/AI57,2))</f>
        <v>0.08</v>
      </c>
      <c r="AM57" s="93"/>
      <c r="AN57" s="93"/>
      <c r="AO57" s="93"/>
      <c r="AP57" s="93"/>
      <c r="AQ57" s="93"/>
      <c r="AR57" s="78"/>
      <c r="AS57" s="93"/>
      <c r="AT57" s="78"/>
      <c r="AU57" s="53"/>
      <c r="AV57" s="52"/>
      <c r="AW57" s="51"/>
      <c r="AZ57" s="46" t="str">
        <f ca="1">IF((OR((AC57=""),(AC57&gt;0))),"1","0")</f>
        <v>1</v>
      </c>
      <c r="BA57" s="46" t="str">
        <f ca="1">IF((OR((AE57=""),(AE57&gt;0))),"1","0")</f>
        <v>1</v>
      </c>
    </row>
    <row r="58" spans="2:53">
      <c r="E58" s="106" t="s">
        <v>112</v>
      </c>
      <c r="F58" s="45"/>
      <c r="G58" s="45"/>
      <c r="H58" s="45"/>
      <c r="I58" s="45"/>
      <c r="J58" s="45"/>
      <c r="K58" s="45"/>
      <c r="L58" s="105" t="s">
        <v>110</v>
      </c>
      <c r="M58" s="92">
        <v>199.95</v>
      </c>
      <c r="N58" s="92">
        <f ca="1">ROUND($M58*(VLOOKUP($L58,$L$9:$AB$24,N$6,FALSE)),2)</f>
        <v>199.95</v>
      </c>
      <c r="O58" s="92">
        <f t="shared" ca="1" si="34"/>
        <v>0</v>
      </c>
      <c r="P58" s="92">
        <f t="shared" ca="1" si="34"/>
        <v>0</v>
      </c>
      <c r="Q58" s="92">
        <f t="shared" ca="1" si="34"/>
        <v>0</v>
      </c>
      <c r="R58" s="92">
        <f ca="1">ROUND(($N58+$Q58)*(VLOOKUP($L58,$L$9:$AB$24,R$6,FALSE)),2)</f>
        <v>0</v>
      </c>
      <c r="S58" s="92"/>
      <c r="T58" s="92"/>
      <c r="U58" s="92">
        <f t="shared" ca="1" si="35"/>
        <v>0</v>
      </c>
      <c r="V58" s="92">
        <f t="shared" ca="1" si="35"/>
        <v>0</v>
      </c>
      <c r="W58" s="92">
        <f t="shared" ca="1" si="35"/>
        <v>0</v>
      </c>
      <c r="X58" s="92">
        <f t="shared" ca="1" si="35"/>
        <v>0</v>
      </c>
      <c r="Y58" s="92">
        <f t="shared" ca="1" si="35"/>
        <v>0</v>
      </c>
      <c r="Z58" s="92">
        <f ca="1">IF($R58=0,ROUND(SUM($N58:$R58)*(VLOOKUP($L58,$L$9:$AB$24,Z$6,FALSE)),2),ROUND(SUM($R58:$R58)*(VLOOKUP($L58,$L$9:$AB$24,Z$6,FALSE)),2))</f>
        <v>18.940000000000001</v>
      </c>
      <c r="AA58" s="92">
        <f ca="1">SUM(N58:Z58)</f>
        <v>218.89</v>
      </c>
      <c r="AB58" s="92">
        <f ca="1">ROUND(AA58*(VLOOKUP($L58,$L$9:$AB$24,AB$6,FALSE)),2)</f>
        <v>17.510000000000002</v>
      </c>
      <c r="AC58" s="92">
        <f ca="1">SUM(AA58:AB58)</f>
        <v>236.39999999999998</v>
      </c>
      <c r="AD58" s="104">
        <v>1</v>
      </c>
      <c r="AE58" s="92">
        <f ca="1">$AC58*$AD58</f>
        <v>236.39999999999998</v>
      </c>
      <c r="AF58" s="90"/>
      <c r="AG58" s="93"/>
      <c r="AH58" s="93"/>
      <c r="AI58" s="78">
        <f ca="1">AA58*AD58</f>
        <v>218.89</v>
      </c>
      <c r="AJ58" s="78">
        <f ca="1">AC58*AD58</f>
        <v>236.39999999999998</v>
      </c>
      <c r="AK58" s="78">
        <f ca="1">AJ58-AI58</f>
        <v>17.509999999999991</v>
      </c>
      <c r="AL58" s="94">
        <f ca="1">IF(AK58=0,0,ROUND(AK58/AI58,2))</f>
        <v>0.08</v>
      </c>
      <c r="AM58" s="93"/>
      <c r="AN58" s="93"/>
      <c r="AO58" s="93"/>
      <c r="AP58" s="93"/>
      <c r="AQ58" s="93"/>
      <c r="AR58" s="78"/>
      <c r="AS58" s="93"/>
      <c r="AT58" s="78"/>
      <c r="AU58" s="53"/>
      <c r="AV58" s="52"/>
      <c r="AW58" s="51"/>
    </row>
    <row r="59" spans="2:53">
      <c r="E59" s="106" t="s">
        <v>111</v>
      </c>
      <c r="F59" s="45"/>
      <c r="G59" s="45"/>
      <c r="H59" s="45"/>
      <c r="I59" s="45"/>
      <c r="J59" s="45"/>
      <c r="K59" s="45"/>
      <c r="L59" s="105" t="s">
        <v>110</v>
      </c>
      <c r="M59" s="107">
        <v>300</v>
      </c>
      <c r="N59" s="92">
        <f ca="1">ROUND($M59*(VLOOKUP($L59,$L$9:$AB$24,N$6,FALSE)),2)</f>
        <v>300</v>
      </c>
      <c r="O59" s="92">
        <f t="shared" ca="1" si="34"/>
        <v>0</v>
      </c>
      <c r="P59" s="92">
        <f t="shared" ca="1" si="34"/>
        <v>0</v>
      </c>
      <c r="Q59" s="92">
        <f t="shared" ca="1" si="34"/>
        <v>0</v>
      </c>
      <c r="R59" s="92">
        <f ca="1">ROUND(($N59+$Q59)*(VLOOKUP($L59,$L$9:$AB$24,R$6,FALSE)),2)</f>
        <v>0</v>
      </c>
      <c r="S59" s="92"/>
      <c r="T59" s="92"/>
      <c r="U59" s="92">
        <f t="shared" ca="1" si="35"/>
        <v>0</v>
      </c>
      <c r="V59" s="92">
        <f t="shared" ca="1" si="35"/>
        <v>0</v>
      </c>
      <c r="W59" s="92">
        <f t="shared" ca="1" si="35"/>
        <v>0</v>
      </c>
      <c r="X59" s="92">
        <f t="shared" ca="1" si="35"/>
        <v>0</v>
      </c>
      <c r="Y59" s="92">
        <f t="shared" ca="1" si="35"/>
        <v>0</v>
      </c>
      <c r="Z59" s="92">
        <f ca="1">IF($R59=0,ROUND(SUM($N59:$R59)*(VLOOKUP($L59,$L$9:$AB$24,Z$6,FALSE)),2),ROUND(SUM($R59:$R59)*(VLOOKUP($L59,$L$9:$AB$24,Z$6,FALSE)),2))</f>
        <v>28.41</v>
      </c>
      <c r="AA59" s="92">
        <f ca="1">SUM(N59:Z59)</f>
        <v>328.41</v>
      </c>
      <c r="AB59" s="92">
        <f ca="1">ROUND(AA59*(VLOOKUP($L59,$L$9:$AB$24,AB$6,FALSE)),2)</f>
        <v>26.27</v>
      </c>
      <c r="AC59" s="92">
        <f ca="1">SUM(AA59:AB59)</f>
        <v>354.68</v>
      </c>
      <c r="AD59" s="104">
        <v>1</v>
      </c>
      <c r="AE59" s="92">
        <f ca="1">$AC59*$AD59</f>
        <v>354.68</v>
      </c>
      <c r="AF59" s="90"/>
      <c r="AG59" s="93"/>
      <c r="AH59" s="93"/>
      <c r="AI59" s="78"/>
      <c r="AJ59" s="78"/>
      <c r="AK59" s="78"/>
      <c r="AL59" s="94"/>
      <c r="AM59" s="93"/>
      <c r="AN59" s="93"/>
      <c r="AO59" s="93"/>
      <c r="AP59" s="93"/>
      <c r="AQ59" s="93"/>
      <c r="AR59" s="78"/>
      <c r="AS59" s="93"/>
      <c r="AT59" s="78"/>
      <c r="AU59" s="53"/>
      <c r="AV59" s="52"/>
      <c r="AW59" s="51"/>
    </row>
    <row r="60" spans="2:53">
      <c r="E60" s="106"/>
      <c r="F60" s="45"/>
      <c r="G60" s="45"/>
      <c r="H60" s="45"/>
      <c r="I60" s="45"/>
      <c r="J60" s="45"/>
      <c r="K60" s="45"/>
      <c r="L60" s="105"/>
      <c r="M60" s="92"/>
      <c r="N60" s="92"/>
      <c r="O60" s="92"/>
      <c r="P60" s="92"/>
      <c r="Q60" s="92"/>
      <c r="R60" s="92"/>
      <c r="S60" s="92"/>
      <c r="T60" s="92"/>
      <c r="U60" s="92"/>
      <c r="V60" s="92"/>
      <c r="W60" s="92"/>
      <c r="X60" s="92"/>
      <c r="Y60" s="92"/>
      <c r="Z60" s="92"/>
      <c r="AA60" s="92"/>
      <c r="AB60" s="92"/>
      <c r="AC60" s="92" t="s">
        <v>109</v>
      </c>
      <c r="AD60" s="104"/>
      <c r="AE60" s="92">
        <f ca="1">SUBTOTAL(9,AE56:AE59)</f>
        <v>1606.6000000000001</v>
      </c>
      <c r="AF60" s="90"/>
      <c r="AG60" s="93"/>
      <c r="AH60" s="93"/>
      <c r="AI60" s="78"/>
      <c r="AJ60" s="78"/>
      <c r="AK60" s="78"/>
      <c r="AL60" s="94"/>
      <c r="AM60" s="93"/>
      <c r="AN60" s="93"/>
      <c r="AO60" s="93"/>
      <c r="AP60" s="93"/>
      <c r="AQ60" s="93"/>
      <c r="AR60" s="78"/>
      <c r="AS60" s="93"/>
      <c r="AT60" s="78"/>
      <c r="AU60" s="53"/>
      <c r="AV60" s="52"/>
      <c r="AW60" s="51"/>
    </row>
    <row r="61" spans="2:53">
      <c r="E61" s="103"/>
      <c r="F61" s="49"/>
      <c r="G61" s="49"/>
      <c r="H61" s="49"/>
      <c r="I61" s="49"/>
      <c r="J61" s="49"/>
      <c r="K61" s="49"/>
      <c r="L61" s="49"/>
      <c r="M61" s="100"/>
      <c r="N61" s="100"/>
      <c r="O61" s="100"/>
      <c r="P61" s="100"/>
      <c r="Q61" s="100"/>
      <c r="R61" s="100"/>
      <c r="S61" s="100"/>
      <c r="T61" s="100"/>
      <c r="U61" s="100"/>
      <c r="V61" s="100"/>
      <c r="W61" s="100"/>
      <c r="X61" s="100"/>
      <c r="Y61" s="100"/>
      <c r="Z61" s="100"/>
      <c r="AA61" s="100"/>
      <c r="AB61" s="100"/>
      <c r="AC61" s="100"/>
      <c r="AD61" s="102"/>
      <c r="AE61" s="100"/>
      <c r="AF61" s="101"/>
      <c r="AG61" s="100"/>
      <c r="AH61" s="100"/>
      <c r="AI61" s="100"/>
      <c r="AJ61" s="100"/>
      <c r="AK61" s="100"/>
      <c r="AL61" s="100"/>
      <c r="AM61" s="100"/>
      <c r="AN61" s="100"/>
      <c r="AO61" s="100"/>
      <c r="AP61" s="100"/>
      <c r="AQ61" s="100"/>
      <c r="AR61" s="99"/>
      <c r="AS61" s="100"/>
      <c r="AT61" s="99"/>
      <c r="AU61" s="99"/>
      <c r="AV61" s="98"/>
      <c r="AW61" s="51"/>
      <c r="AZ61" s="46" t="str">
        <f t="shared" ref="AZ61:AZ92" si="36">IF((OR((AC61=""),(AC61&gt;0))),"1","0")</f>
        <v>1</v>
      </c>
      <c r="BA61" s="46" t="str">
        <f t="shared" ref="BA61:BA92" si="37">IF((OR((AE61=""),(AE61&gt;0))),"1","0")</f>
        <v>1</v>
      </c>
    </row>
    <row r="62" spans="2:53">
      <c r="E62" s="91"/>
      <c r="F62" s="45"/>
      <c r="G62" s="45"/>
      <c r="H62" s="45"/>
      <c r="I62" s="45"/>
      <c r="J62" s="45"/>
      <c r="K62" s="45"/>
      <c r="L62" s="45"/>
      <c r="M62" s="45"/>
      <c r="N62" s="45"/>
      <c r="O62" s="45"/>
      <c r="P62" s="45"/>
      <c r="Q62" s="45"/>
      <c r="R62" s="45"/>
      <c r="S62" s="45"/>
      <c r="T62" s="45"/>
      <c r="U62" s="45"/>
      <c r="V62" s="45"/>
      <c r="W62" s="45"/>
      <c r="X62" s="45"/>
      <c r="Y62" s="45"/>
      <c r="Z62" s="45"/>
      <c r="AA62" s="45"/>
      <c r="AB62" s="45"/>
      <c r="AC62" s="45"/>
      <c r="AD62" s="45"/>
      <c r="AE62" s="92"/>
      <c r="AF62" s="90"/>
      <c r="AZ62" s="46" t="str">
        <f t="shared" si="36"/>
        <v>1</v>
      </c>
      <c r="BA62" s="46" t="str">
        <f t="shared" si="37"/>
        <v>1</v>
      </c>
    </row>
    <row r="63" spans="2:53">
      <c r="E63" s="91"/>
      <c r="F63" s="45"/>
      <c r="G63" s="45"/>
      <c r="H63" s="45"/>
      <c r="I63" s="45"/>
      <c r="J63" s="45"/>
      <c r="K63" s="45"/>
      <c r="L63" s="45"/>
      <c r="M63" s="45"/>
      <c r="N63" s="45"/>
      <c r="O63" s="45"/>
      <c r="P63" s="45"/>
      <c r="Q63" s="45"/>
      <c r="R63" s="45"/>
      <c r="S63" s="45"/>
      <c r="T63" s="45"/>
      <c r="U63" s="45"/>
      <c r="V63" s="45"/>
      <c r="W63" s="45"/>
      <c r="X63" s="45"/>
      <c r="Y63" s="45"/>
      <c r="Z63" s="45"/>
      <c r="AA63" s="45"/>
      <c r="AB63" s="45"/>
      <c r="AC63" s="97" t="s">
        <v>108</v>
      </c>
      <c r="AD63" s="96"/>
      <c r="AE63" s="95">
        <f ca="1">SUBTOTAL(9,AE$54:AE$62)</f>
        <v>1606.6000000000001</v>
      </c>
      <c r="AF63" s="90"/>
      <c r="AG63" s="93"/>
      <c r="AH63" s="93"/>
      <c r="AI63" s="93">
        <f ca="1">SUM(AI32:AI58)</f>
        <v>4134049.2598308437</v>
      </c>
      <c r="AJ63" s="93">
        <f ca="1">SUM(AJ32:AJ58)</f>
        <v>4464837.4400000004</v>
      </c>
      <c r="AK63" s="93">
        <f ca="1">SUM(AK32:AK58)</f>
        <v>330788.18016915617</v>
      </c>
      <c r="AL63" s="94">
        <f ca="1">IF(AK63=0,0,ROUND(AK63/AI63,2))</f>
        <v>0.08</v>
      </c>
      <c r="AM63" s="93"/>
      <c r="AN63" s="93"/>
      <c r="AO63" s="93"/>
      <c r="AP63" s="93"/>
      <c r="AQ63" s="93"/>
      <c r="AR63" s="93"/>
      <c r="AS63" s="93"/>
      <c r="AT63" s="93"/>
      <c r="AU63" s="92"/>
      <c r="AV63" s="52"/>
      <c r="AW63" s="51"/>
      <c r="AZ63" s="46" t="str">
        <f t="shared" si="36"/>
        <v>1</v>
      </c>
      <c r="BA63" s="46" t="str">
        <f t="shared" ca="1" si="37"/>
        <v>1</v>
      </c>
    </row>
    <row r="64" spans="2:53">
      <c r="E64" s="91"/>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90"/>
      <c r="AR64" s="89"/>
      <c r="AS64" s="88"/>
      <c r="AZ64" s="46" t="str">
        <f t="shared" si="36"/>
        <v>1</v>
      </c>
      <c r="BA64" s="46" t="str">
        <f t="shared" si="37"/>
        <v>1</v>
      </c>
    </row>
    <row r="65" spans="5:53">
      <c r="E65" s="87"/>
      <c r="F65" s="85"/>
      <c r="G65" s="85"/>
      <c r="H65" s="85"/>
      <c r="I65" s="85"/>
      <c r="J65" s="85"/>
      <c r="K65" s="85"/>
      <c r="L65" s="85"/>
      <c r="M65" s="85"/>
      <c r="N65" s="85"/>
      <c r="O65" s="85"/>
      <c r="P65" s="85"/>
      <c r="Q65" s="85"/>
      <c r="R65" s="85"/>
      <c r="S65" s="85"/>
      <c r="T65" s="85"/>
      <c r="U65" s="85"/>
      <c r="V65" s="85"/>
      <c r="W65" s="85"/>
      <c r="X65" s="85"/>
      <c r="Y65" s="85"/>
      <c r="Z65" s="85"/>
      <c r="AA65" s="85"/>
      <c r="AB65" s="85"/>
      <c r="AC65" s="85"/>
      <c r="AD65" s="85"/>
      <c r="AE65" s="85"/>
      <c r="AF65" s="86"/>
      <c r="AG65" s="85"/>
      <c r="AH65" s="85"/>
      <c r="AI65" s="85"/>
      <c r="AJ65" s="85"/>
      <c r="AK65" s="85"/>
      <c r="AL65" s="85"/>
      <c r="AM65" s="85"/>
      <c r="AN65" s="85"/>
      <c r="AO65" s="85"/>
      <c r="AP65" s="85"/>
      <c r="AQ65" s="85"/>
      <c r="AR65" s="85"/>
      <c r="AS65" s="85"/>
      <c r="AT65" s="85"/>
      <c r="AV65" s="85"/>
      <c r="AZ65" s="46" t="str">
        <f t="shared" si="36"/>
        <v>1</v>
      </c>
      <c r="BA65" s="46" t="str">
        <f t="shared" si="37"/>
        <v>1</v>
      </c>
    </row>
    <row r="66" spans="5:53" ht="13.5" thickBot="1">
      <c r="E66" s="84"/>
      <c r="F66" s="83"/>
      <c r="G66" s="83"/>
      <c r="H66" s="83"/>
      <c r="I66" s="83"/>
      <c r="J66" s="83"/>
      <c r="K66" s="83"/>
      <c r="L66" s="83"/>
      <c r="M66" s="83"/>
      <c r="N66" s="83"/>
      <c r="O66" s="83"/>
      <c r="P66" s="83"/>
      <c r="Q66" s="83"/>
      <c r="R66" s="83"/>
      <c r="S66" s="83"/>
      <c r="T66" s="83"/>
      <c r="U66" s="83"/>
      <c r="V66" s="83"/>
      <c r="W66" s="83"/>
      <c r="X66" s="83"/>
      <c r="Y66" s="83"/>
      <c r="Z66" s="83"/>
      <c r="AA66" s="83"/>
      <c r="AB66" s="83"/>
      <c r="AC66" s="82" t="s">
        <v>107</v>
      </c>
      <c r="AD66" s="81">
        <f>AD52</f>
        <v>52304</v>
      </c>
      <c r="AE66" s="80">
        <f ca="1">SUBTOTAL(9,AE$31:AE$65)</f>
        <v>4465192.12</v>
      </c>
      <c r="AF66" s="79"/>
      <c r="AG66" s="78"/>
      <c r="AH66" s="78"/>
      <c r="AI66" s="78"/>
      <c r="AJ66" s="78"/>
      <c r="AK66" s="78"/>
      <c r="AL66" s="78"/>
      <c r="AM66" s="78"/>
      <c r="AN66" s="78"/>
      <c r="AO66" s="78"/>
      <c r="AP66" s="78"/>
      <c r="AQ66" s="78"/>
      <c r="AR66" s="78"/>
      <c r="AS66" s="78"/>
      <c r="AT66" s="78"/>
      <c r="AU66" s="53"/>
      <c r="AV66" s="52"/>
      <c r="AW66" s="51"/>
      <c r="AZ66" s="46" t="str">
        <f t="shared" si="36"/>
        <v>1</v>
      </c>
      <c r="BA66" s="46" t="str">
        <f t="shared" ca="1" si="37"/>
        <v>1</v>
      </c>
    </row>
    <row r="67" spans="5:53">
      <c r="AR67" s="77"/>
      <c r="AS67" s="76"/>
      <c r="AZ67" s="46" t="str">
        <f t="shared" si="36"/>
        <v>1</v>
      </c>
      <c r="BA67" s="46" t="str">
        <f t="shared" si="37"/>
        <v>1</v>
      </c>
    </row>
    <row r="68" spans="5:53">
      <c r="AZ68" s="46" t="str">
        <f t="shared" si="36"/>
        <v>1</v>
      </c>
      <c r="BA68" s="46" t="str">
        <f t="shared" si="37"/>
        <v>1</v>
      </c>
    </row>
    <row r="69" spans="5:53">
      <c r="O69" s="73"/>
      <c r="P69" s="73"/>
      <c r="R69" s="75" t="s">
        <v>106</v>
      </c>
      <c r="S69" s="74"/>
      <c r="T69" s="74"/>
      <c r="U69" s="73"/>
      <c r="V69" s="73"/>
      <c r="W69" s="73"/>
      <c r="X69" s="73"/>
      <c r="Y69" s="73"/>
      <c r="Z69" s="72" t="s">
        <v>105</v>
      </c>
      <c r="AA69" s="71" t="s">
        <v>104</v>
      </c>
      <c r="AB69" s="72" t="s">
        <v>103</v>
      </c>
      <c r="AC69" s="71" t="s">
        <v>102</v>
      </c>
      <c r="AD69" s="72" t="s">
        <v>101</v>
      </c>
      <c r="AE69" s="71" t="s">
        <v>100</v>
      </c>
      <c r="AZ69" s="46" t="str">
        <f t="shared" si="36"/>
        <v>1</v>
      </c>
      <c r="BA69" s="46" t="str">
        <f t="shared" si="37"/>
        <v>1</v>
      </c>
    </row>
    <row r="70" spans="5:53">
      <c r="O70" s="45"/>
      <c r="P70" s="45"/>
      <c r="R70" s="67" t="s">
        <v>99</v>
      </c>
      <c r="S70" s="66"/>
      <c r="T70" s="66"/>
      <c r="U70" s="45"/>
      <c r="V70" s="45"/>
      <c r="W70" s="45"/>
      <c r="X70" s="45"/>
      <c r="Y70" s="45"/>
      <c r="Z70" s="64">
        <f t="shared" ref="Z70:Z90" si="38">IF(AD70=0,0,(AD70/AD$91))</f>
        <v>0.73340471092077086</v>
      </c>
      <c r="AA70" s="65">
        <f t="shared" ref="AA70:AA90" ca="1" si="39">IF(AE70=0,0,(AE70/AE$91))</f>
        <v>0.7754746905801414</v>
      </c>
      <c r="AB70" s="70" t="s">
        <v>98</v>
      </c>
      <c r="AC70" s="69" t="s">
        <v>98</v>
      </c>
      <c r="AD70" s="62">
        <f t="shared" ref="AD70:AE90" si="40">SUMIF($G$31:$G$53,$R70,AD$31:AD$64)</f>
        <v>38360</v>
      </c>
      <c r="AE70" s="61">
        <f t="shared" ca="1" si="40"/>
        <v>3461397.6</v>
      </c>
      <c r="AF70" s="47" t="str">
        <f t="shared" ref="AF70:AF90" si="41">R70</f>
        <v>ManTech</v>
      </c>
      <c r="AG70" s="53"/>
      <c r="AH70" s="53"/>
      <c r="AI70" s="53"/>
      <c r="AJ70" s="53"/>
      <c r="AK70" s="53"/>
      <c r="AL70" s="53"/>
      <c r="AM70" s="53"/>
      <c r="AN70" s="53"/>
      <c r="AO70" s="53"/>
      <c r="AP70" s="53"/>
      <c r="AQ70" s="53"/>
      <c r="AR70" s="53"/>
      <c r="AS70" s="53"/>
      <c r="AT70" s="53"/>
      <c r="AU70" s="53"/>
      <c r="AV70" s="52"/>
      <c r="AW70" s="51"/>
      <c r="AZ70" s="46" t="str">
        <f t="shared" si="36"/>
        <v>1</v>
      </c>
      <c r="BA70" s="46" t="str">
        <f t="shared" ca="1" si="37"/>
        <v>1</v>
      </c>
    </row>
    <row r="71" spans="5:53">
      <c r="M71" s="68"/>
      <c r="O71" s="45"/>
      <c r="P71" s="45"/>
      <c r="R71" s="67" t="s">
        <v>241</v>
      </c>
      <c r="S71" s="66"/>
      <c r="T71" s="66"/>
      <c r="U71" s="45"/>
      <c r="V71" s="45"/>
      <c r="W71" s="45"/>
      <c r="X71" s="45"/>
      <c r="Y71" s="45"/>
      <c r="Z71" s="64">
        <f t="shared" si="38"/>
        <v>0.26613643315998775</v>
      </c>
      <c r="AA71" s="65">
        <f t="shared" ca="1" si="39"/>
        <v>0.22368716708266406</v>
      </c>
      <c r="AB71" s="64">
        <f t="shared" ref="AB71:AB90" si="42">IF(AD71=0,0,(AD71/(AD$91-AD$70)))</f>
        <v>0.99827882960413084</v>
      </c>
      <c r="AC71" s="63">
        <f t="shared" ref="AC71:AC90" ca="1" si="43">IF(AE71=0,0,(AE71/(AE$91-AE$70)))</f>
        <v>0.99626704740164862</v>
      </c>
      <c r="AD71" s="62">
        <f t="shared" si="40"/>
        <v>13920</v>
      </c>
      <c r="AE71" s="61">
        <f t="shared" ca="1" si="40"/>
        <v>998446.8</v>
      </c>
      <c r="AF71" s="47" t="str">
        <f t="shared" si="41"/>
        <v>Segovia, Inc.</v>
      </c>
      <c r="AG71" s="53"/>
      <c r="AH71" s="53"/>
      <c r="AI71" s="53"/>
      <c r="AJ71" s="53"/>
      <c r="AK71" s="53"/>
      <c r="AL71" s="53"/>
      <c r="AM71" s="53"/>
      <c r="AN71" s="53"/>
      <c r="AO71" s="53"/>
      <c r="AP71" s="53"/>
      <c r="AQ71" s="53"/>
      <c r="AR71" s="53"/>
      <c r="AS71" s="53"/>
      <c r="AT71" s="53"/>
      <c r="AU71" s="53"/>
      <c r="AV71" s="52"/>
      <c r="AW71" s="51"/>
      <c r="AZ71" s="46" t="str">
        <f t="shared" ca="1" si="36"/>
        <v>1</v>
      </c>
      <c r="BA71" s="46" t="str">
        <f t="shared" ca="1" si="37"/>
        <v>1</v>
      </c>
    </row>
    <row r="72" spans="5:53">
      <c r="M72" s="68"/>
      <c r="O72" s="45"/>
      <c r="P72" s="45"/>
      <c r="R72" s="67" t="s">
        <v>242</v>
      </c>
      <c r="S72" s="66"/>
      <c r="T72" s="66"/>
      <c r="U72" s="45"/>
      <c r="V72" s="45"/>
      <c r="W72" s="45"/>
      <c r="X72" s="45"/>
      <c r="Y72" s="45"/>
      <c r="Z72" s="64">
        <f t="shared" si="38"/>
        <v>0</v>
      </c>
      <c r="AA72" s="65">
        <f t="shared" si="39"/>
        <v>0</v>
      </c>
      <c r="AB72" s="64">
        <f t="shared" si="42"/>
        <v>0</v>
      </c>
      <c r="AC72" s="63">
        <f t="shared" si="43"/>
        <v>0</v>
      </c>
      <c r="AD72" s="62">
        <f t="shared" si="40"/>
        <v>0</v>
      </c>
      <c r="AE72" s="61">
        <f t="shared" si="40"/>
        <v>0</v>
      </c>
      <c r="AF72" s="47" t="str">
        <f t="shared" si="41"/>
        <v>Briggs and Sons</v>
      </c>
      <c r="AG72" s="53"/>
      <c r="AH72" s="53"/>
      <c r="AI72" s="53"/>
      <c r="AJ72" s="53"/>
      <c r="AK72" s="53"/>
      <c r="AL72" s="53"/>
      <c r="AM72" s="53"/>
      <c r="AN72" s="53"/>
      <c r="AO72" s="53"/>
      <c r="AP72" s="53"/>
      <c r="AQ72" s="53"/>
      <c r="AR72" s="53"/>
      <c r="AS72" s="53"/>
      <c r="AT72" s="53"/>
      <c r="AU72" s="53"/>
      <c r="AV72" s="52"/>
      <c r="AW72" s="51"/>
      <c r="AZ72" s="46" t="str">
        <f t="shared" si="36"/>
        <v>0</v>
      </c>
      <c r="BA72" s="46" t="str">
        <f t="shared" si="37"/>
        <v>0</v>
      </c>
    </row>
    <row r="73" spans="5:53">
      <c r="M73" s="68"/>
      <c r="O73" s="45"/>
      <c r="P73" s="45"/>
      <c r="R73" s="67" t="s">
        <v>243</v>
      </c>
      <c r="S73" s="66"/>
      <c r="T73" s="66"/>
      <c r="U73" s="45"/>
      <c r="V73" s="45"/>
      <c r="W73" s="45"/>
      <c r="X73" s="45"/>
      <c r="Y73" s="45"/>
      <c r="Z73" s="64">
        <f t="shared" si="38"/>
        <v>4.588559192413582E-4</v>
      </c>
      <c r="AA73" s="65">
        <f t="shared" ca="1" si="39"/>
        <v>8.3814233719442651E-4</v>
      </c>
      <c r="AB73" s="64">
        <f t="shared" si="42"/>
        <v>1.7211703958691911E-3</v>
      </c>
      <c r="AC73" s="63">
        <f t="shared" ca="1" si="43"/>
        <v>3.7329525983510145E-3</v>
      </c>
      <c r="AD73" s="62">
        <f t="shared" si="40"/>
        <v>24</v>
      </c>
      <c r="AE73" s="61">
        <f t="shared" ca="1" si="40"/>
        <v>3741.12</v>
      </c>
      <c r="AF73" s="47" t="str">
        <f t="shared" si="41"/>
        <v>Yvan</v>
      </c>
      <c r="AG73" s="53"/>
      <c r="AH73" s="53"/>
      <c r="AI73" s="53"/>
      <c r="AJ73" s="53"/>
      <c r="AK73" s="53"/>
      <c r="AL73" s="53"/>
      <c r="AM73" s="53"/>
      <c r="AN73" s="53"/>
      <c r="AO73" s="53"/>
      <c r="AP73" s="53"/>
      <c r="AQ73" s="53"/>
      <c r="AR73" s="53"/>
      <c r="AS73" s="53"/>
      <c r="AT73" s="53"/>
      <c r="AU73" s="53"/>
      <c r="AV73" s="52"/>
      <c r="AW73" s="51"/>
      <c r="AZ73" s="46" t="str">
        <f t="shared" ca="1" si="36"/>
        <v>1</v>
      </c>
      <c r="BA73" s="46" t="str">
        <f t="shared" ca="1" si="37"/>
        <v>1</v>
      </c>
    </row>
    <row r="74" spans="5:53">
      <c r="O74" s="45"/>
      <c r="P74" s="45"/>
      <c r="R74" s="67" t="s">
        <v>244</v>
      </c>
      <c r="S74" s="66"/>
      <c r="T74" s="66"/>
      <c r="U74" s="45"/>
      <c r="V74" s="45"/>
      <c r="W74" s="45"/>
      <c r="X74" s="45"/>
      <c r="Y74" s="45"/>
      <c r="Z74" s="64">
        <f t="shared" si="38"/>
        <v>0</v>
      </c>
      <c r="AA74" s="65">
        <f t="shared" si="39"/>
        <v>0</v>
      </c>
      <c r="AB74" s="64">
        <f t="shared" si="42"/>
        <v>0</v>
      </c>
      <c r="AC74" s="63">
        <f t="shared" si="43"/>
        <v>0</v>
      </c>
      <c r="AD74" s="62">
        <f t="shared" si="40"/>
        <v>0</v>
      </c>
      <c r="AE74" s="61">
        <f t="shared" si="40"/>
        <v>0</v>
      </c>
      <c r="AF74" s="47" t="str">
        <f t="shared" si="41"/>
        <v>Sub 4</v>
      </c>
      <c r="AG74" s="53"/>
      <c r="AH74" s="53"/>
      <c r="AI74" s="53"/>
      <c r="AJ74" s="53"/>
      <c r="AK74" s="53"/>
      <c r="AL74" s="53"/>
      <c r="AM74" s="53"/>
      <c r="AN74" s="53"/>
      <c r="AO74" s="53"/>
      <c r="AP74" s="53"/>
      <c r="AQ74" s="53"/>
      <c r="AR74" s="53"/>
      <c r="AS74" s="53"/>
      <c r="AT74" s="53"/>
      <c r="AU74" s="53"/>
      <c r="AV74" s="52"/>
      <c r="AW74" s="51"/>
      <c r="AZ74" s="46" t="str">
        <f t="shared" si="36"/>
        <v>0</v>
      </c>
      <c r="BA74" s="46" t="str">
        <f t="shared" si="37"/>
        <v>0</v>
      </c>
    </row>
    <row r="75" spans="5:53">
      <c r="O75" s="45"/>
      <c r="P75" s="45"/>
      <c r="R75" s="67" t="s">
        <v>245</v>
      </c>
      <c r="S75" s="66"/>
      <c r="T75" s="66"/>
      <c r="U75" s="45"/>
      <c r="V75" s="45"/>
      <c r="W75" s="45"/>
      <c r="X75" s="45"/>
      <c r="Y75" s="45"/>
      <c r="Z75" s="64">
        <f t="shared" si="38"/>
        <v>0</v>
      </c>
      <c r="AA75" s="65">
        <f t="shared" si="39"/>
        <v>0</v>
      </c>
      <c r="AB75" s="64">
        <f t="shared" si="42"/>
        <v>0</v>
      </c>
      <c r="AC75" s="63">
        <f t="shared" si="43"/>
        <v>0</v>
      </c>
      <c r="AD75" s="62">
        <f t="shared" si="40"/>
        <v>0</v>
      </c>
      <c r="AE75" s="61">
        <f t="shared" si="40"/>
        <v>0</v>
      </c>
      <c r="AF75" s="47" t="str">
        <f t="shared" si="41"/>
        <v>Sub 5</v>
      </c>
      <c r="AG75" s="53"/>
      <c r="AH75" s="53"/>
      <c r="AI75" s="53"/>
      <c r="AJ75" s="53"/>
      <c r="AK75" s="53"/>
      <c r="AL75" s="53"/>
      <c r="AM75" s="53"/>
      <c r="AN75" s="53"/>
      <c r="AO75" s="53"/>
      <c r="AP75" s="53"/>
      <c r="AQ75" s="53"/>
      <c r="AR75" s="53"/>
      <c r="AS75" s="53"/>
      <c r="AT75" s="53"/>
      <c r="AU75" s="53"/>
      <c r="AV75" s="52"/>
      <c r="AW75" s="51"/>
      <c r="AZ75" s="46" t="str">
        <f t="shared" si="36"/>
        <v>0</v>
      </c>
      <c r="BA75" s="46" t="str">
        <f t="shared" si="37"/>
        <v>0</v>
      </c>
    </row>
    <row r="76" spans="5:53">
      <c r="O76" s="45"/>
      <c r="P76" s="45"/>
      <c r="R76" s="67" t="s">
        <v>246</v>
      </c>
      <c r="S76" s="66"/>
      <c r="T76" s="66"/>
      <c r="U76" s="45"/>
      <c r="V76" s="45"/>
      <c r="W76" s="45"/>
      <c r="X76" s="45"/>
      <c r="Y76" s="45"/>
      <c r="Z76" s="64">
        <f t="shared" si="38"/>
        <v>0</v>
      </c>
      <c r="AA76" s="65">
        <f t="shared" si="39"/>
        <v>0</v>
      </c>
      <c r="AB76" s="64">
        <f t="shared" si="42"/>
        <v>0</v>
      </c>
      <c r="AC76" s="63">
        <f t="shared" si="43"/>
        <v>0</v>
      </c>
      <c r="AD76" s="62">
        <f t="shared" si="40"/>
        <v>0</v>
      </c>
      <c r="AE76" s="61">
        <f t="shared" si="40"/>
        <v>0</v>
      </c>
      <c r="AF76" s="47" t="str">
        <f t="shared" si="41"/>
        <v>Sub 6</v>
      </c>
      <c r="AG76" s="53"/>
      <c r="AH76" s="53"/>
      <c r="AI76" s="53"/>
      <c r="AJ76" s="53"/>
      <c r="AK76" s="53"/>
      <c r="AL76" s="53"/>
      <c r="AM76" s="53"/>
      <c r="AN76" s="53"/>
      <c r="AO76" s="53"/>
      <c r="AP76" s="53"/>
      <c r="AQ76" s="53"/>
      <c r="AR76" s="53"/>
      <c r="AS76" s="53"/>
      <c r="AT76" s="53"/>
      <c r="AU76" s="53"/>
      <c r="AV76" s="52"/>
      <c r="AW76" s="51"/>
      <c r="AZ76" s="46" t="str">
        <f t="shared" si="36"/>
        <v>0</v>
      </c>
      <c r="BA76" s="46" t="str">
        <f t="shared" si="37"/>
        <v>0</v>
      </c>
    </row>
    <row r="77" spans="5:53">
      <c r="O77" s="45"/>
      <c r="P77" s="45"/>
      <c r="R77" s="67" t="s">
        <v>247</v>
      </c>
      <c r="S77" s="66"/>
      <c r="T77" s="66"/>
      <c r="U77" s="45"/>
      <c r="V77" s="45"/>
      <c r="W77" s="45"/>
      <c r="X77" s="45"/>
      <c r="Y77" s="45"/>
      <c r="Z77" s="64">
        <f t="shared" si="38"/>
        <v>0</v>
      </c>
      <c r="AA77" s="65">
        <f t="shared" si="39"/>
        <v>0</v>
      </c>
      <c r="AB77" s="64">
        <f t="shared" si="42"/>
        <v>0</v>
      </c>
      <c r="AC77" s="63">
        <f t="shared" si="43"/>
        <v>0</v>
      </c>
      <c r="AD77" s="62">
        <f t="shared" si="40"/>
        <v>0</v>
      </c>
      <c r="AE77" s="61">
        <f t="shared" si="40"/>
        <v>0</v>
      </c>
      <c r="AF77" s="47" t="str">
        <f t="shared" si="41"/>
        <v>Sub 7</v>
      </c>
      <c r="AG77" s="53"/>
      <c r="AH77" s="53"/>
      <c r="AI77" s="53"/>
      <c r="AJ77" s="53"/>
      <c r="AK77" s="53"/>
      <c r="AL77" s="53"/>
      <c r="AM77" s="53"/>
      <c r="AN77" s="53"/>
      <c r="AO77" s="53"/>
      <c r="AP77" s="53"/>
      <c r="AQ77" s="53"/>
      <c r="AR77" s="53"/>
      <c r="AS77" s="53"/>
      <c r="AT77" s="53"/>
      <c r="AU77" s="53"/>
      <c r="AV77" s="52"/>
      <c r="AW77" s="51"/>
      <c r="AZ77" s="46" t="str">
        <f t="shared" si="36"/>
        <v>0</v>
      </c>
      <c r="BA77" s="46" t="str">
        <f t="shared" si="37"/>
        <v>0</v>
      </c>
    </row>
    <row r="78" spans="5:53">
      <c r="O78" s="45"/>
      <c r="P78" s="45"/>
      <c r="R78" s="67" t="s">
        <v>248</v>
      </c>
      <c r="S78" s="66"/>
      <c r="T78" s="66"/>
      <c r="U78" s="45"/>
      <c r="V78" s="45"/>
      <c r="W78" s="45"/>
      <c r="X78" s="45"/>
      <c r="Y78" s="45"/>
      <c r="Z78" s="64">
        <f t="shared" si="38"/>
        <v>0</v>
      </c>
      <c r="AA78" s="65">
        <f t="shared" si="39"/>
        <v>0</v>
      </c>
      <c r="AB78" s="64">
        <f t="shared" si="42"/>
        <v>0</v>
      </c>
      <c r="AC78" s="63">
        <f t="shared" si="43"/>
        <v>0</v>
      </c>
      <c r="AD78" s="62">
        <f t="shared" si="40"/>
        <v>0</v>
      </c>
      <c r="AE78" s="61">
        <f t="shared" si="40"/>
        <v>0</v>
      </c>
      <c r="AF78" s="47" t="str">
        <f t="shared" si="41"/>
        <v>Sub 8</v>
      </c>
      <c r="AG78" s="53"/>
      <c r="AH78" s="53"/>
      <c r="AI78" s="53"/>
      <c r="AJ78" s="53"/>
      <c r="AK78" s="53"/>
      <c r="AL78" s="53"/>
      <c r="AM78" s="53"/>
      <c r="AN78" s="53"/>
      <c r="AO78" s="53"/>
      <c r="AP78" s="53"/>
      <c r="AQ78" s="53"/>
      <c r="AR78" s="53"/>
      <c r="AS78" s="53"/>
      <c r="AT78" s="53"/>
      <c r="AU78" s="53"/>
      <c r="AV78" s="52"/>
      <c r="AW78" s="51"/>
      <c r="AZ78" s="46" t="str">
        <f t="shared" si="36"/>
        <v>0</v>
      </c>
      <c r="BA78" s="46" t="str">
        <f t="shared" si="37"/>
        <v>0</v>
      </c>
    </row>
    <row r="79" spans="5:53">
      <c r="O79" s="45"/>
      <c r="P79" s="45"/>
      <c r="R79" s="67" t="s">
        <v>249</v>
      </c>
      <c r="S79" s="66"/>
      <c r="T79" s="66"/>
      <c r="U79" s="45"/>
      <c r="V79" s="45"/>
      <c r="W79" s="45"/>
      <c r="X79" s="45"/>
      <c r="Y79" s="45"/>
      <c r="Z79" s="64">
        <f t="shared" si="38"/>
        <v>0</v>
      </c>
      <c r="AA79" s="65">
        <f t="shared" si="39"/>
        <v>0</v>
      </c>
      <c r="AB79" s="64">
        <f t="shared" si="42"/>
        <v>0</v>
      </c>
      <c r="AC79" s="63">
        <f t="shared" si="43"/>
        <v>0</v>
      </c>
      <c r="AD79" s="62">
        <f t="shared" si="40"/>
        <v>0</v>
      </c>
      <c r="AE79" s="61">
        <f t="shared" si="40"/>
        <v>0</v>
      </c>
      <c r="AF79" s="47" t="str">
        <f t="shared" si="41"/>
        <v>Sub 9</v>
      </c>
      <c r="AG79" s="53"/>
      <c r="AH79" s="53"/>
      <c r="AI79" s="53"/>
      <c r="AJ79" s="53"/>
      <c r="AK79" s="53"/>
      <c r="AL79" s="53"/>
      <c r="AM79" s="53"/>
      <c r="AN79" s="53"/>
      <c r="AO79" s="53"/>
      <c r="AP79" s="53"/>
      <c r="AQ79" s="53"/>
      <c r="AR79" s="53"/>
      <c r="AS79" s="53"/>
      <c r="AT79" s="53"/>
      <c r="AU79" s="53"/>
      <c r="AV79" s="52"/>
      <c r="AW79" s="51"/>
      <c r="AZ79" s="46" t="str">
        <f t="shared" si="36"/>
        <v>0</v>
      </c>
      <c r="BA79" s="46" t="str">
        <f t="shared" si="37"/>
        <v>0</v>
      </c>
    </row>
    <row r="80" spans="5:53">
      <c r="O80" s="45"/>
      <c r="P80" s="45"/>
      <c r="R80" s="67" t="s">
        <v>250</v>
      </c>
      <c r="S80" s="66"/>
      <c r="T80" s="66"/>
      <c r="U80" s="45"/>
      <c r="V80" s="45"/>
      <c r="W80" s="45"/>
      <c r="X80" s="45"/>
      <c r="Y80" s="45"/>
      <c r="Z80" s="64">
        <f t="shared" si="38"/>
        <v>0</v>
      </c>
      <c r="AA80" s="65">
        <f t="shared" si="39"/>
        <v>0</v>
      </c>
      <c r="AB80" s="64">
        <f t="shared" si="42"/>
        <v>0</v>
      </c>
      <c r="AC80" s="63">
        <f t="shared" si="43"/>
        <v>0</v>
      </c>
      <c r="AD80" s="62">
        <f t="shared" si="40"/>
        <v>0</v>
      </c>
      <c r="AE80" s="61">
        <f t="shared" si="40"/>
        <v>0</v>
      </c>
      <c r="AF80" s="47" t="str">
        <f t="shared" si="41"/>
        <v>Sub 10</v>
      </c>
      <c r="AG80" s="53"/>
      <c r="AH80" s="53"/>
      <c r="AI80" s="53"/>
      <c r="AJ80" s="53"/>
      <c r="AK80" s="53"/>
      <c r="AL80" s="53"/>
      <c r="AM80" s="53"/>
      <c r="AN80" s="53"/>
      <c r="AO80" s="53"/>
      <c r="AP80" s="53"/>
      <c r="AQ80" s="53"/>
      <c r="AR80" s="53"/>
      <c r="AS80" s="53"/>
      <c r="AT80" s="53"/>
      <c r="AU80" s="53"/>
      <c r="AV80" s="52"/>
      <c r="AW80" s="51"/>
      <c r="AZ80" s="46" t="str">
        <f t="shared" si="36"/>
        <v>0</v>
      </c>
      <c r="BA80" s="46" t="str">
        <f t="shared" si="37"/>
        <v>0</v>
      </c>
    </row>
    <row r="81" spans="15:53" s="45" customFormat="1">
      <c r="Q81" s="47"/>
      <c r="R81" s="67" t="s">
        <v>251</v>
      </c>
      <c r="S81" s="66"/>
      <c r="T81" s="66"/>
      <c r="Z81" s="64">
        <f t="shared" si="38"/>
        <v>0</v>
      </c>
      <c r="AA81" s="65">
        <f t="shared" si="39"/>
        <v>0</v>
      </c>
      <c r="AB81" s="64">
        <f t="shared" si="42"/>
        <v>0</v>
      </c>
      <c r="AC81" s="63">
        <f t="shared" si="43"/>
        <v>0</v>
      </c>
      <c r="AD81" s="62">
        <f t="shared" si="40"/>
        <v>0</v>
      </c>
      <c r="AE81" s="61">
        <f t="shared" si="40"/>
        <v>0</v>
      </c>
      <c r="AF81" s="47" t="str">
        <f t="shared" si="41"/>
        <v>Sub 11</v>
      </c>
      <c r="AG81" s="53"/>
      <c r="AH81" s="53"/>
      <c r="AI81" s="53"/>
      <c r="AJ81" s="53"/>
      <c r="AK81" s="53"/>
      <c r="AL81" s="53"/>
      <c r="AM81" s="53"/>
      <c r="AN81" s="53"/>
      <c r="AO81" s="53"/>
      <c r="AP81" s="53"/>
      <c r="AQ81" s="53"/>
      <c r="AR81" s="53"/>
      <c r="AS81" s="53"/>
      <c r="AT81" s="53"/>
      <c r="AU81" s="53"/>
      <c r="AV81" s="52"/>
      <c r="AW81" s="51"/>
      <c r="AZ81" s="46" t="str">
        <f t="shared" si="36"/>
        <v>0</v>
      </c>
      <c r="BA81" s="46" t="str">
        <f t="shared" si="37"/>
        <v>0</v>
      </c>
    </row>
    <row r="82" spans="15:53" s="45" customFormat="1">
      <c r="Q82" s="47"/>
      <c r="R82" s="67" t="s">
        <v>252</v>
      </c>
      <c r="S82" s="66"/>
      <c r="T82" s="66"/>
      <c r="Z82" s="64">
        <f t="shared" si="38"/>
        <v>0</v>
      </c>
      <c r="AA82" s="65">
        <f t="shared" si="39"/>
        <v>0</v>
      </c>
      <c r="AB82" s="64">
        <f t="shared" si="42"/>
        <v>0</v>
      </c>
      <c r="AC82" s="63">
        <f t="shared" si="43"/>
        <v>0</v>
      </c>
      <c r="AD82" s="62">
        <f t="shared" si="40"/>
        <v>0</v>
      </c>
      <c r="AE82" s="61">
        <f t="shared" si="40"/>
        <v>0</v>
      </c>
      <c r="AF82" s="47" t="str">
        <f t="shared" si="41"/>
        <v>Sub 12</v>
      </c>
      <c r="AG82" s="53"/>
      <c r="AH82" s="53"/>
      <c r="AI82" s="53"/>
      <c r="AJ82" s="53"/>
      <c r="AK82" s="53"/>
      <c r="AL82" s="53"/>
      <c r="AM82" s="53"/>
      <c r="AN82" s="53"/>
      <c r="AO82" s="53"/>
      <c r="AP82" s="53"/>
      <c r="AQ82" s="53"/>
      <c r="AR82" s="53"/>
      <c r="AS82" s="53"/>
      <c r="AT82" s="53"/>
      <c r="AU82" s="53"/>
      <c r="AV82" s="52"/>
      <c r="AW82" s="51"/>
      <c r="AZ82" s="46" t="str">
        <f t="shared" si="36"/>
        <v>0</v>
      </c>
      <c r="BA82" s="46" t="str">
        <f t="shared" si="37"/>
        <v>0</v>
      </c>
    </row>
    <row r="83" spans="15:53" s="45" customFormat="1">
      <c r="Q83" s="47"/>
      <c r="R83" s="67" t="s">
        <v>253</v>
      </c>
      <c r="S83" s="66"/>
      <c r="T83" s="66"/>
      <c r="Z83" s="64">
        <f t="shared" si="38"/>
        <v>0</v>
      </c>
      <c r="AA83" s="65">
        <f t="shared" si="39"/>
        <v>0</v>
      </c>
      <c r="AB83" s="64">
        <f t="shared" si="42"/>
        <v>0</v>
      </c>
      <c r="AC83" s="63">
        <f t="shared" si="43"/>
        <v>0</v>
      </c>
      <c r="AD83" s="62">
        <f t="shared" si="40"/>
        <v>0</v>
      </c>
      <c r="AE83" s="61">
        <f t="shared" si="40"/>
        <v>0</v>
      </c>
      <c r="AF83" s="47" t="str">
        <f t="shared" si="41"/>
        <v>Sub 13</v>
      </c>
      <c r="AG83" s="53"/>
      <c r="AH83" s="53"/>
      <c r="AI83" s="53"/>
      <c r="AJ83" s="53"/>
      <c r="AK83" s="53"/>
      <c r="AL83" s="53"/>
      <c r="AM83" s="53"/>
      <c r="AN83" s="53"/>
      <c r="AO83" s="53"/>
      <c r="AP83" s="53"/>
      <c r="AQ83" s="53"/>
      <c r="AR83" s="53"/>
      <c r="AS83" s="53"/>
      <c r="AT83" s="53"/>
      <c r="AU83" s="53"/>
      <c r="AV83" s="52"/>
      <c r="AW83" s="51"/>
      <c r="AZ83" s="46" t="str">
        <f t="shared" si="36"/>
        <v>0</v>
      </c>
      <c r="BA83" s="46" t="str">
        <f t="shared" si="37"/>
        <v>0</v>
      </c>
    </row>
    <row r="84" spans="15:53" s="45" customFormat="1">
      <c r="Q84" s="47"/>
      <c r="R84" s="67" t="s">
        <v>254</v>
      </c>
      <c r="S84" s="66"/>
      <c r="T84" s="66"/>
      <c r="Z84" s="64">
        <f t="shared" si="38"/>
        <v>0</v>
      </c>
      <c r="AA84" s="65">
        <f t="shared" si="39"/>
        <v>0</v>
      </c>
      <c r="AB84" s="64">
        <f t="shared" si="42"/>
        <v>0</v>
      </c>
      <c r="AC84" s="63">
        <f t="shared" si="43"/>
        <v>0</v>
      </c>
      <c r="AD84" s="62">
        <f t="shared" si="40"/>
        <v>0</v>
      </c>
      <c r="AE84" s="61">
        <f t="shared" si="40"/>
        <v>0</v>
      </c>
      <c r="AF84" s="47" t="str">
        <f t="shared" si="41"/>
        <v>Sub 14</v>
      </c>
      <c r="AG84" s="53"/>
      <c r="AH84" s="53"/>
      <c r="AI84" s="53"/>
      <c r="AJ84" s="53"/>
      <c r="AK84" s="53"/>
      <c r="AL84" s="53"/>
      <c r="AM84" s="53"/>
      <c r="AN84" s="53"/>
      <c r="AO84" s="53"/>
      <c r="AP84" s="53"/>
      <c r="AQ84" s="53"/>
      <c r="AR84" s="53"/>
      <c r="AS84" s="53"/>
      <c r="AT84" s="53"/>
      <c r="AU84" s="53"/>
      <c r="AV84" s="52"/>
      <c r="AW84" s="51"/>
      <c r="AZ84" s="46" t="str">
        <f t="shared" si="36"/>
        <v>0</v>
      </c>
      <c r="BA84" s="46" t="str">
        <f t="shared" si="37"/>
        <v>0</v>
      </c>
    </row>
    <row r="85" spans="15:53" s="45" customFormat="1">
      <c r="Q85" s="47"/>
      <c r="R85" s="67" t="s">
        <v>255</v>
      </c>
      <c r="S85" s="66"/>
      <c r="T85" s="66"/>
      <c r="Z85" s="64">
        <f t="shared" si="38"/>
        <v>0</v>
      </c>
      <c r="AA85" s="65">
        <f t="shared" si="39"/>
        <v>0</v>
      </c>
      <c r="AB85" s="64">
        <f t="shared" si="42"/>
        <v>0</v>
      </c>
      <c r="AC85" s="63">
        <f t="shared" si="43"/>
        <v>0</v>
      </c>
      <c r="AD85" s="62">
        <f t="shared" si="40"/>
        <v>0</v>
      </c>
      <c r="AE85" s="61">
        <f t="shared" si="40"/>
        <v>0</v>
      </c>
      <c r="AF85" s="47" t="str">
        <f t="shared" si="41"/>
        <v>Sub 15</v>
      </c>
      <c r="AG85" s="53"/>
      <c r="AH85" s="53"/>
      <c r="AI85" s="53"/>
      <c r="AJ85" s="53"/>
      <c r="AK85" s="53"/>
      <c r="AL85" s="53"/>
      <c r="AM85" s="53"/>
      <c r="AN85" s="53"/>
      <c r="AO85" s="53"/>
      <c r="AP85" s="53"/>
      <c r="AQ85" s="53"/>
      <c r="AR85" s="53"/>
      <c r="AS85" s="53"/>
      <c r="AT85" s="53"/>
      <c r="AU85" s="53"/>
      <c r="AV85" s="52"/>
      <c r="AW85" s="51"/>
      <c r="AZ85" s="46" t="str">
        <f t="shared" si="36"/>
        <v>0</v>
      </c>
      <c r="BA85" s="46" t="str">
        <f t="shared" si="37"/>
        <v>0</v>
      </c>
    </row>
    <row r="86" spans="15:53" s="45" customFormat="1">
      <c r="Q86" s="47"/>
      <c r="R86" s="67" t="s">
        <v>256</v>
      </c>
      <c r="S86" s="66"/>
      <c r="T86" s="66"/>
      <c r="Z86" s="64">
        <f t="shared" si="38"/>
        <v>0</v>
      </c>
      <c r="AA86" s="65">
        <f t="shared" si="39"/>
        <v>0</v>
      </c>
      <c r="AB86" s="64">
        <f t="shared" si="42"/>
        <v>0</v>
      </c>
      <c r="AC86" s="63">
        <f t="shared" si="43"/>
        <v>0</v>
      </c>
      <c r="AD86" s="62">
        <f t="shared" si="40"/>
        <v>0</v>
      </c>
      <c r="AE86" s="61">
        <f t="shared" si="40"/>
        <v>0</v>
      </c>
      <c r="AF86" s="47" t="str">
        <f t="shared" si="41"/>
        <v>Sub 16</v>
      </c>
      <c r="AG86" s="53"/>
      <c r="AH86" s="53"/>
      <c r="AI86" s="53"/>
      <c r="AJ86" s="53"/>
      <c r="AK86" s="53"/>
      <c r="AL86" s="53"/>
      <c r="AM86" s="53"/>
      <c r="AN86" s="53"/>
      <c r="AO86" s="53"/>
      <c r="AP86" s="53"/>
      <c r="AQ86" s="53"/>
      <c r="AR86" s="53"/>
      <c r="AS86" s="53"/>
      <c r="AT86" s="53"/>
      <c r="AU86" s="53"/>
      <c r="AV86" s="52"/>
      <c r="AW86" s="51"/>
      <c r="AZ86" s="46" t="str">
        <f t="shared" si="36"/>
        <v>0</v>
      </c>
      <c r="BA86" s="46" t="str">
        <f t="shared" si="37"/>
        <v>0</v>
      </c>
    </row>
    <row r="87" spans="15:53" s="45" customFormat="1">
      <c r="Q87" s="47"/>
      <c r="R87" s="67" t="s">
        <v>257</v>
      </c>
      <c r="S87" s="66"/>
      <c r="T87" s="66"/>
      <c r="Z87" s="64">
        <f t="shared" si="38"/>
        <v>0</v>
      </c>
      <c r="AA87" s="65">
        <f t="shared" si="39"/>
        <v>0</v>
      </c>
      <c r="AB87" s="64">
        <f t="shared" si="42"/>
        <v>0</v>
      </c>
      <c r="AC87" s="63">
        <f t="shared" si="43"/>
        <v>0</v>
      </c>
      <c r="AD87" s="62">
        <f t="shared" si="40"/>
        <v>0</v>
      </c>
      <c r="AE87" s="61">
        <f t="shared" si="40"/>
        <v>0</v>
      </c>
      <c r="AF87" s="47" t="str">
        <f t="shared" si="41"/>
        <v>Sub 17</v>
      </c>
      <c r="AG87" s="53"/>
      <c r="AH87" s="53"/>
      <c r="AI87" s="53"/>
      <c r="AJ87" s="53"/>
      <c r="AK87" s="53"/>
      <c r="AL87" s="53"/>
      <c r="AM87" s="53"/>
      <c r="AN87" s="53"/>
      <c r="AO87" s="53"/>
      <c r="AP87" s="53"/>
      <c r="AQ87" s="53"/>
      <c r="AR87" s="53"/>
      <c r="AS87" s="53"/>
      <c r="AT87" s="53"/>
      <c r="AU87" s="53"/>
      <c r="AV87" s="52"/>
      <c r="AW87" s="51"/>
      <c r="AZ87" s="46" t="str">
        <f t="shared" si="36"/>
        <v>0</v>
      </c>
      <c r="BA87" s="46" t="str">
        <f t="shared" si="37"/>
        <v>0</v>
      </c>
    </row>
    <row r="88" spans="15:53" s="45" customFormat="1">
      <c r="Q88" s="47"/>
      <c r="R88" s="67" t="s">
        <v>258</v>
      </c>
      <c r="S88" s="66"/>
      <c r="T88" s="66"/>
      <c r="Z88" s="64">
        <f t="shared" si="38"/>
        <v>0</v>
      </c>
      <c r="AA88" s="65">
        <f t="shared" si="39"/>
        <v>0</v>
      </c>
      <c r="AB88" s="64">
        <f t="shared" si="42"/>
        <v>0</v>
      </c>
      <c r="AC88" s="63">
        <f t="shared" si="43"/>
        <v>0</v>
      </c>
      <c r="AD88" s="62">
        <f t="shared" si="40"/>
        <v>0</v>
      </c>
      <c r="AE88" s="61">
        <f t="shared" si="40"/>
        <v>0</v>
      </c>
      <c r="AF88" s="47" t="str">
        <f t="shared" si="41"/>
        <v>Sub 18</v>
      </c>
      <c r="AG88" s="53"/>
      <c r="AH88" s="53"/>
      <c r="AI88" s="53"/>
      <c r="AJ88" s="53"/>
      <c r="AK88" s="53"/>
      <c r="AL88" s="53"/>
      <c r="AM88" s="53"/>
      <c r="AN88" s="53"/>
      <c r="AO88" s="53"/>
      <c r="AP88" s="53"/>
      <c r="AQ88" s="53"/>
      <c r="AR88" s="53"/>
      <c r="AS88" s="53"/>
      <c r="AT88" s="53"/>
      <c r="AU88" s="53"/>
      <c r="AV88" s="52"/>
      <c r="AW88" s="51"/>
      <c r="AZ88" s="46" t="str">
        <f t="shared" si="36"/>
        <v>0</v>
      </c>
      <c r="BA88" s="46" t="str">
        <f t="shared" si="37"/>
        <v>0</v>
      </c>
    </row>
    <row r="89" spans="15:53" s="45" customFormat="1">
      <c r="Q89" s="47"/>
      <c r="R89" s="67" t="s">
        <v>259</v>
      </c>
      <c r="S89" s="66"/>
      <c r="T89" s="66"/>
      <c r="Z89" s="64">
        <f t="shared" si="38"/>
        <v>0</v>
      </c>
      <c r="AA89" s="65">
        <f t="shared" si="39"/>
        <v>0</v>
      </c>
      <c r="AB89" s="64">
        <f t="shared" si="42"/>
        <v>0</v>
      </c>
      <c r="AC89" s="63">
        <f t="shared" si="43"/>
        <v>0</v>
      </c>
      <c r="AD89" s="62">
        <f t="shared" si="40"/>
        <v>0</v>
      </c>
      <c r="AE89" s="61">
        <f t="shared" si="40"/>
        <v>0</v>
      </c>
      <c r="AF89" s="47" t="str">
        <f t="shared" si="41"/>
        <v>Sub 19</v>
      </c>
      <c r="AG89" s="53"/>
      <c r="AH89" s="53"/>
      <c r="AI89" s="53"/>
      <c r="AJ89" s="53"/>
      <c r="AK89" s="53"/>
      <c r="AL89" s="53"/>
      <c r="AM89" s="53"/>
      <c r="AN89" s="53"/>
      <c r="AO89" s="53"/>
      <c r="AP89" s="53"/>
      <c r="AQ89" s="53"/>
      <c r="AR89" s="53"/>
      <c r="AS89" s="53"/>
      <c r="AT89" s="53"/>
      <c r="AU89" s="53"/>
      <c r="AV89" s="52"/>
      <c r="AW89" s="51"/>
      <c r="AZ89" s="46" t="str">
        <f t="shared" si="36"/>
        <v>0</v>
      </c>
      <c r="BA89" s="46" t="str">
        <f t="shared" si="37"/>
        <v>0</v>
      </c>
    </row>
    <row r="90" spans="15:53" s="45" customFormat="1">
      <c r="Q90" s="47"/>
      <c r="R90" s="67" t="s">
        <v>260</v>
      </c>
      <c r="S90" s="66"/>
      <c r="T90" s="66"/>
      <c r="Z90" s="64">
        <f t="shared" si="38"/>
        <v>0</v>
      </c>
      <c r="AA90" s="65">
        <f t="shared" si="39"/>
        <v>0</v>
      </c>
      <c r="AB90" s="64">
        <f t="shared" si="42"/>
        <v>0</v>
      </c>
      <c r="AC90" s="63">
        <f t="shared" si="43"/>
        <v>0</v>
      </c>
      <c r="AD90" s="62">
        <f t="shared" si="40"/>
        <v>0</v>
      </c>
      <c r="AE90" s="61">
        <f t="shared" si="40"/>
        <v>0</v>
      </c>
      <c r="AF90" s="47" t="str">
        <f t="shared" si="41"/>
        <v>Sub 20</v>
      </c>
      <c r="AG90" s="53"/>
      <c r="AH90" s="53"/>
      <c r="AI90" s="53"/>
      <c r="AJ90" s="53"/>
      <c r="AK90" s="53"/>
      <c r="AL90" s="53"/>
      <c r="AM90" s="53"/>
      <c r="AN90" s="53"/>
      <c r="AO90" s="53"/>
      <c r="AP90" s="53"/>
      <c r="AQ90" s="53"/>
      <c r="AR90" s="53"/>
      <c r="AS90" s="53"/>
      <c r="AT90" s="53"/>
      <c r="AU90" s="53"/>
      <c r="AV90" s="52"/>
      <c r="AW90" s="51"/>
      <c r="AZ90" s="46" t="str">
        <f t="shared" si="36"/>
        <v>0</v>
      </c>
      <c r="BA90" s="46" t="str">
        <f t="shared" si="37"/>
        <v>0</v>
      </c>
    </row>
    <row r="91" spans="15:53" s="45" customFormat="1" ht="13.5" thickBot="1">
      <c r="O91" s="60"/>
      <c r="P91" s="60"/>
      <c r="Q91" s="47"/>
      <c r="R91" s="58" t="s">
        <v>97</v>
      </c>
      <c r="S91" s="60"/>
      <c r="T91" s="60"/>
      <c r="U91" s="60"/>
      <c r="V91" s="60"/>
      <c r="W91" s="60"/>
      <c r="X91" s="60"/>
      <c r="Y91" s="60"/>
      <c r="Z91" s="58"/>
      <c r="AA91" s="59"/>
      <c r="AB91" s="58"/>
      <c r="AC91" s="57"/>
      <c r="AD91" s="56">
        <f>SUM(AD70:AD90)</f>
        <v>52304</v>
      </c>
      <c r="AE91" s="55">
        <f ca="1">SUM(AE70:AE90)</f>
        <v>4463585.5200000005</v>
      </c>
      <c r="AF91" s="47"/>
      <c r="AG91" s="54"/>
      <c r="AH91" s="54"/>
      <c r="AI91" s="54"/>
      <c r="AJ91" s="54"/>
      <c r="AK91" s="54"/>
      <c r="AL91" s="54"/>
      <c r="AM91" s="54"/>
      <c r="AN91" s="54"/>
      <c r="AO91" s="54"/>
      <c r="AP91" s="54"/>
      <c r="AQ91" s="54"/>
      <c r="AR91" s="54"/>
      <c r="AS91" s="54"/>
      <c r="AT91" s="54"/>
      <c r="AU91" s="53"/>
      <c r="AV91" s="52"/>
      <c r="AW91" s="51"/>
      <c r="AZ91" s="46" t="str">
        <f t="shared" si="36"/>
        <v>1</v>
      </c>
      <c r="BA91" s="46" t="str">
        <f t="shared" ca="1" si="37"/>
        <v>1</v>
      </c>
    </row>
    <row r="92" spans="15:53" s="45" customFormat="1" ht="13.5" thickTop="1">
      <c r="O92" s="49"/>
      <c r="P92" s="49"/>
      <c r="Q92" s="47"/>
      <c r="R92" s="50"/>
      <c r="S92" s="49"/>
      <c r="T92" s="49"/>
      <c r="U92" s="49"/>
      <c r="V92" s="49"/>
      <c r="W92" s="49"/>
      <c r="X92" s="49"/>
      <c r="Y92" s="49"/>
      <c r="Z92" s="49"/>
      <c r="AA92" s="49"/>
      <c r="AB92" s="49"/>
      <c r="AC92" s="49"/>
      <c r="AD92" s="49"/>
      <c r="AE92" s="48"/>
      <c r="AF92" s="47"/>
      <c r="AG92" s="47"/>
      <c r="AH92" s="47"/>
      <c r="AI92" s="47"/>
      <c r="AJ92" s="47"/>
      <c r="AK92" s="47"/>
      <c r="AL92" s="47"/>
      <c r="AM92" s="47"/>
      <c r="AN92" s="47"/>
      <c r="AO92" s="47"/>
      <c r="AP92" s="47"/>
      <c r="AQ92" s="47"/>
      <c r="AR92" s="47"/>
      <c r="AS92" s="47"/>
      <c r="AT92" s="47"/>
      <c r="AV92" s="47"/>
      <c r="AZ92" s="46" t="str">
        <f t="shared" si="36"/>
        <v>1</v>
      </c>
      <c r="BA92" s="46" t="str">
        <f t="shared" si="37"/>
        <v>1</v>
      </c>
    </row>
  </sheetData>
  <autoFilter ref="AZ29:BA29"/>
  <mergeCells count="1">
    <mergeCell ref="F2:L2"/>
  </mergeCells>
  <conditionalFormatting sqref="R24:U24">
    <cfRule type="cellIs" dxfId="4" priority="1" stopIfTrue="1" operator="greaterThan">
      <formula>0</formula>
    </cfRule>
  </conditionalFormatting>
  <dataValidations count="2">
    <dataValidation type="list" allowBlank="1" showInputMessage="1" showErrorMessage="1" sqref="L32:L49 JH32:JH49 TD32:TD49 ACZ32:ACZ49 AMV32:AMV49 AWR32:AWR49 BGN32:BGN49 BQJ32:BQJ49 CAF32:CAF49 CKB32:CKB49 CTX32:CTX49 DDT32:DDT49 DNP32:DNP49 DXL32:DXL49 EHH32:EHH49 ERD32:ERD49 FAZ32:FAZ49 FKV32:FKV49 FUR32:FUR49 GEN32:GEN49 GOJ32:GOJ49 GYF32:GYF49 HIB32:HIB49 HRX32:HRX49 IBT32:IBT49 ILP32:ILP49 IVL32:IVL49 JFH32:JFH49 JPD32:JPD49 JYZ32:JYZ49 KIV32:KIV49 KSR32:KSR49 LCN32:LCN49 LMJ32:LMJ49 LWF32:LWF49 MGB32:MGB49 MPX32:MPX49 MZT32:MZT49 NJP32:NJP49 NTL32:NTL49 ODH32:ODH49 OND32:OND49 OWZ32:OWZ49 PGV32:PGV49 PQR32:PQR49 QAN32:QAN49 QKJ32:QKJ49 QUF32:QUF49 REB32:REB49 RNX32:RNX49 RXT32:RXT49 SHP32:SHP49 SRL32:SRL49 TBH32:TBH49 TLD32:TLD49 TUZ32:TUZ49 UEV32:UEV49 UOR32:UOR49 UYN32:UYN49 VIJ32:VIJ49 VSF32:VSF49 WCB32:WCB49 WLX32:WLX49 WVT32:WVT49 L65568:L65585 JH65568:JH65585 TD65568:TD65585 ACZ65568:ACZ65585 AMV65568:AMV65585 AWR65568:AWR65585 BGN65568:BGN65585 BQJ65568:BQJ65585 CAF65568:CAF65585 CKB65568:CKB65585 CTX65568:CTX65585 DDT65568:DDT65585 DNP65568:DNP65585 DXL65568:DXL65585 EHH65568:EHH65585 ERD65568:ERD65585 FAZ65568:FAZ65585 FKV65568:FKV65585 FUR65568:FUR65585 GEN65568:GEN65585 GOJ65568:GOJ65585 GYF65568:GYF65585 HIB65568:HIB65585 HRX65568:HRX65585 IBT65568:IBT65585 ILP65568:ILP65585 IVL65568:IVL65585 JFH65568:JFH65585 JPD65568:JPD65585 JYZ65568:JYZ65585 KIV65568:KIV65585 KSR65568:KSR65585 LCN65568:LCN65585 LMJ65568:LMJ65585 LWF65568:LWF65585 MGB65568:MGB65585 MPX65568:MPX65585 MZT65568:MZT65585 NJP65568:NJP65585 NTL65568:NTL65585 ODH65568:ODH65585 OND65568:OND65585 OWZ65568:OWZ65585 PGV65568:PGV65585 PQR65568:PQR65585 QAN65568:QAN65585 QKJ65568:QKJ65585 QUF65568:QUF65585 REB65568:REB65585 RNX65568:RNX65585 RXT65568:RXT65585 SHP65568:SHP65585 SRL65568:SRL65585 TBH65568:TBH65585 TLD65568:TLD65585 TUZ65568:TUZ65585 UEV65568:UEV65585 UOR65568:UOR65585 UYN65568:UYN65585 VIJ65568:VIJ65585 VSF65568:VSF65585 WCB65568:WCB65585 WLX65568:WLX65585 WVT65568:WVT65585 L131104:L131121 JH131104:JH131121 TD131104:TD131121 ACZ131104:ACZ131121 AMV131104:AMV131121 AWR131104:AWR131121 BGN131104:BGN131121 BQJ131104:BQJ131121 CAF131104:CAF131121 CKB131104:CKB131121 CTX131104:CTX131121 DDT131104:DDT131121 DNP131104:DNP131121 DXL131104:DXL131121 EHH131104:EHH131121 ERD131104:ERD131121 FAZ131104:FAZ131121 FKV131104:FKV131121 FUR131104:FUR131121 GEN131104:GEN131121 GOJ131104:GOJ131121 GYF131104:GYF131121 HIB131104:HIB131121 HRX131104:HRX131121 IBT131104:IBT131121 ILP131104:ILP131121 IVL131104:IVL131121 JFH131104:JFH131121 JPD131104:JPD131121 JYZ131104:JYZ131121 KIV131104:KIV131121 KSR131104:KSR131121 LCN131104:LCN131121 LMJ131104:LMJ131121 LWF131104:LWF131121 MGB131104:MGB131121 MPX131104:MPX131121 MZT131104:MZT131121 NJP131104:NJP131121 NTL131104:NTL131121 ODH131104:ODH131121 OND131104:OND131121 OWZ131104:OWZ131121 PGV131104:PGV131121 PQR131104:PQR131121 QAN131104:QAN131121 QKJ131104:QKJ131121 QUF131104:QUF131121 REB131104:REB131121 RNX131104:RNX131121 RXT131104:RXT131121 SHP131104:SHP131121 SRL131104:SRL131121 TBH131104:TBH131121 TLD131104:TLD131121 TUZ131104:TUZ131121 UEV131104:UEV131121 UOR131104:UOR131121 UYN131104:UYN131121 VIJ131104:VIJ131121 VSF131104:VSF131121 WCB131104:WCB131121 WLX131104:WLX131121 WVT131104:WVT131121 L196640:L196657 JH196640:JH196657 TD196640:TD196657 ACZ196640:ACZ196657 AMV196640:AMV196657 AWR196640:AWR196657 BGN196640:BGN196657 BQJ196640:BQJ196657 CAF196640:CAF196657 CKB196640:CKB196657 CTX196640:CTX196657 DDT196640:DDT196657 DNP196640:DNP196657 DXL196640:DXL196657 EHH196640:EHH196657 ERD196640:ERD196657 FAZ196640:FAZ196657 FKV196640:FKV196657 FUR196640:FUR196657 GEN196640:GEN196657 GOJ196640:GOJ196657 GYF196640:GYF196657 HIB196640:HIB196657 HRX196640:HRX196657 IBT196640:IBT196657 ILP196640:ILP196657 IVL196640:IVL196657 JFH196640:JFH196657 JPD196640:JPD196657 JYZ196640:JYZ196657 KIV196640:KIV196657 KSR196640:KSR196657 LCN196640:LCN196657 LMJ196640:LMJ196657 LWF196640:LWF196657 MGB196640:MGB196657 MPX196640:MPX196657 MZT196640:MZT196657 NJP196640:NJP196657 NTL196640:NTL196657 ODH196640:ODH196657 OND196640:OND196657 OWZ196640:OWZ196657 PGV196640:PGV196657 PQR196640:PQR196657 QAN196640:QAN196657 QKJ196640:QKJ196657 QUF196640:QUF196657 REB196640:REB196657 RNX196640:RNX196657 RXT196640:RXT196657 SHP196640:SHP196657 SRL196640:SRL196657 TBH196640:TBH196657 TLD196640:TLD196657 TUZ196640:TUZ196657 UEV196640:UEV196657 UOR196640:UOR196657 UYN196640:UYN196657 VIJ196640:VIJ196657 VSF196640:VSF196657 WCB196640:WCB196657 WLX196640:WLX196657 WVT196640:WVT196657 L262176:L262193 JH262176:JH262193 TD262176:TD262193 ACZ262176:ACZ262193 AMV262176:AMV262193 AWR262176:AWR262193 BGN262176:BGN262193 BQJ262176:BQJ262193 CAF262176:CAF262193 CKB262176:CKB262193 CTX262176:CTX262193 DDT262176:DDT262193 DNP262176:DNP262193 DXL262176:DXL262193 EHH262176:EHH262193 ERD262176:ERD262193 FAZ262176:FAZ262193 FKV262176:FKV262193 FUR262176:FUR262193 GEN262176:GEN262193 GOJ262176:GOJ262193 GYF262176:GYF262193 HIB262176:HIB262193 HRX262176:HRX262193 IBT262176:IBT262193 ILP262176:ILP262193 IVL262176:IVL262193 JFH262176:JFH262193 JPD262176:JPD262193 JYZ262176:JYZ262193 KIV262176:KIV262193 KSR262176:KSR262193 LCN262176:LCN262193 LMJ262176:LMJ262193 LWF262176:LWF262193 MGB262176:MGB262193 MPX262176:MPX262193 MZT262176:MZT262193 NJP262176:NJP262193 NTL262176:NTL262193 ODH262176:ODH262193 OND262176:OND262193 OWZ262176:OWZ262193 PGV262176:PGV262193 PQR262176:PQR262193 QAN262176:QAN262193 QKJ262176:QKJ262193 QUF262176:QUF262193 REB262176:REB262193 RNX262176:RNX262193 RXT262176:RXT262193 SHP262176:SHP262193 SRL262176:SRL262193 TBH262176:TBH262193 TLD262176:TLD262193 TUZ262176:TUZ262193 UEV262176:UEV262193 UOR262176:UOR262193 UYN262176:UYN262193 VIJ262176:VIJ262193 VSF262176:VSF262193 WCB262176:WCB262193 WLX262176:WLX262193 WVT262176:WVT262193 L327712:L327729 JH327712:JH327729 TD327712:TD327729 ACZ327712:ACZ327729 AMV327712:AMV327729 AWR327712:AWR327729 BGN327712:BGN327729 BQJ327712:BQJ327729 CAF327712:CAF327729 CKB327712:CKB327729 CTX327712:CTX327729 DDT327712:DDT327729 DNP327712:DNP327729 DXL327712:DXL327729 EHH327712:EHH327729 ERD327712:ERD327729 FAZ327712:FAZ327729 FKV327712:FKV327729 FUR327712:FUR327729 GEN327712:GEN327729 GOJ327712:GOJ327729 GYF327712:GYF327729 HIB327712:HIB327729 HRX327712:HRX327729 IBT327712:IBT327729 ILP327712:ILP327729 IVL327712:IVL327729 JFH327712:JFH327729 JPD327712:JPD327729 JYZ327712:JYZ327729 KIV327712:KIV327729 KSR327712:KSR327729 LCN327712:LCN327729 LMJ327712:LMJ327729 LWF327712:LWF327729 MGB327712:MGB327729 MPX327712:MPX327729 MZT327712:MZT327729 NJP327712:NJP327729 NTL327712:NTL327729 ODH327712:ODH327729 OND327712:OND327729 OWZ327712:OWZ327729 PGV327712:PGV327729 PQR327712:PQR327729 QAN327712:QAN327729 QKJ327712:QKJ327729 QUF327712:QUF327729 REB327712:REB327729 RNX327712:RNX327729 RXT327712:RXT327729 SHP327712:SHP327729 SRL327712:SRL327729 TBH327712:TBH327729 TLD327712:TLD327729 TUZ327712:TUZ327729 UEV327712:UEV327729 UOR327712:UOR327729 UYN327712:UYN327729 VIJ327712:VIJ327729 VSF327712:VSF327729 WCB327712:WCB327729 WLX327712:WLX327729 WVT327712:WVT327729 L393248:L393265 JH393248:JH393265 TD393248:TD393265 ACZ393248:ACZ393265 AMV393248:AMV393265 AWR393248:AWR393265 BGN393248:BGN393265 BQJ393248:BQJ393265 CAF393248:CAF393265 CKB393248:CKB393265 CTX393248:CTX393265 DDT393248:DDT393265 DNP393248:DNP393265 DXL393248:DXL393265 EHH393248:EHH393265 ERD393248:ERD393265 FAZ393248:FAZ393265 FKV393248:FKV393265 FUR393248:FUR393265 GEN393248:GEN393265 GOJ393248:GOJ393265 GYF393248:GYF393265 HIB393248:HIB393265 HRX393248:HRX393265 IBT393248:IBT393265 ILP393248:ILP393265 IVL393248:IVL393265 JFH393248:JFH393265 JPD393248:JPD393265 JYZ393248:JYZ393265 KIV393248:KIV393265 KSR393248:KSR393265 LCN393248:LCN393265 LMJ393248:LMJ393265 LWF393248:LWF393265 MGB393248:MGB393265 MPX393248:MPX393265 MZT393248:MZT393265 NJP393248:NJP393265 NTL393248:NTL393265 ODH393248:ODH393265 OND393248:OND393265 OWZ393248:OWZ393265 PGV393248:PGV393265 PQR393248:PQR393265 QAN393248:QAN393265 QKJ393248:QKJ393265 QUF393248:QUF393265 REB393248:REB393265 RNX393248:RNX393265 RXT393248:RXT393265 SHP393248:SHP393265 SRL393248:SRL393265 TBH393248:TBH393265 TLD393248:TLD393265 TUZ393248:TUZ393265 UEV393248:UEV393265 UOR393248:UOR393265 UYN393248:UYN393265 VIJ393248:VIJ393265 VSF393248:VSF393265 WCB393248:WCB393265 WLX393248:WLX393265 WVT393248:WVT393265 L458784:L458801 JH458784:JH458801 TD458784:TD458801 ACZ458784:ACZ458801 AMV458784:AMV458801 AWR458784:AWR458801 BGN458784:BGN458801 BQJ458784:BQJ458801 CAF458784:CAF458801 CKB458784:CKB458801 CTX458784:CTX458801 DDT458784:DDT458801 DNP458784:DNP458801 DXL458784:DXL458801 EHH458784:EHH458801 ERD458784:ERD458801 FAZ458784:FAZ458801 FKV458784:FKV458801 FUR458784:FUR458801 GEN458784:GEN458801 GOJ458784:GOJ458801 GYF458784:GYF458801 HIB458784:HIB458801 HRX458784:HRX458801 IBT458784:IBT458801 ILP458784:ILP458801 IVL458784:IVL458801 JFH458784:JFH458801 JPD458784:JPD458801 JYZ458784:JYZ458801 KIV458784:KIV458801 KSR458784:KSR458801 LCN458784:LCN458801 LMJ458784:LMJ458801 LWF458784:LWF458801 MGB458784:MGB458801 MPX458784:MPX458801 MZT458784:MZT458801 NJP458784:NJP458801 NTL458784:NTL458801 ODH458784:ODH458801 OND458784:OND458801 OWZ458784:OWZ458801 PGV458784:PGV458801 PQR458784:PQR458801 QAN458784:QAN458801 QKJ458784:QKJ458801 QUF458784:QUF458801 REB458784:REB458801 RNX458784:RNX458801 RXT458784:RXT458801 SHP458784:SHP458801 SRL458784:SRL458801 TBH458784:TBH458801 TLD458784:TLD458801 TUZ458784:TUZ458801 UEV458784:UEV458801 UOR458784:UOR458801 UYN458784:UYN458801 VIJ458784:VIJ458801 VSF458784:VSF458801 WCB458784:WCB458801 WLX458784:WLX458801 WVT458784:WVT458801 L524320:L524337 JH524320:JH524337 TD524320:TD524337 ACZ524320:ACZ524337 AMV524320:AMV524337 AWR524320:AWR524337 BGN524320:BGN524337 BQJ524320:BQJ524337 CAF524320:CAF524337 CKB524320:CKB524337 CTX524320:CTX524337 DDT524320:DDT524337 DNP524320:DNP524337 DXL524320:DXL524337 EHH524320:EHH524337 ERD524320:ERD524337 FAZ524320:FAZ524337 FKV524320:FKV524337 FUR524320:FUR524337 GEN524320:GEN524337 GOJ524320:GOJ524337 GYF524320:GYF524337 HIB524320:HIB524337 HRX524320:HRX524337 IBT524320:IBT524337 ILP524320:ILP524337 IVL524320:IVL524337 JFH524320:JFH524337 JPD524320:JPD524337 JYZ524320:JYZ524337 KIV524320:KIV524337 KSR524320:KSR524337 LCN524320:LCN524337 LMJ524320:LMJ524337 LWF524320:LWF524337 MGB524320:MGB524337 MPX524320:MPX524337 MZT524320:MZT524337 NJP524320:NJP524337 NTL524320:NTL524337 ODH524320:ODH524337 OND524320:OND524337 OWZ524320:OWZ524337 PGV524320:PGV524337 PQR524320:PQR524337 QAN524320:QAN524337 QKJ524320:QKJ524337 QUF524320:QUF524337 REB524320:REB524337 RNX524320:RNX524337 RXT524320:RXT524337 SHP524320:SHP524337 SRL524320:SRL524337 TBH524320:TBH524337 TLD524320:TLD524337 TUZ524320:TUZ524337 UEV524320:UEV524337 UOR524320:UOR524337 UYN524320:UYN524337 VIJ524320:VIJ524337 VSF524320:VSF524337 WCB524320:WCB524337 WLX524320:WLX524337 WVT524320:WVT524337 L589856:L589873 JH589856:JH589873 TD589856:TD589873 ACZ589856:ACZ589873 AMV589856:AMV589873 AWR589856:AWR589873 BGN589856:BGN589873 BQJ589856:BQJ589873 CAF589856:CAF589873 CKB589856:CKB589873 CTX589856:CTX589873 DDT589856:DDT589873 DNP589856:DNP589873 DXL589856:DXL589873 EHH589856:EHH589873 ERD589856:ERD589873 FAZ589856:FAZ589873 FKV589856:FKV589873 FUR589856:FUR589873 GEN589856:GEN589873 GOJ589856:GOJ589873 GYF589856:GYF589873 HIB589856:HIB589873 HRX589856:HRX589873 IBT589856:IBT589873 ILP589856:ILP589873 IVL589856:IVL589873 JFH589856:JFH589873 JPD589856:JPD589873 JYZ589856:JYZ589873 KIV589856:KIV589873 KSR589856:KSR589873 LCN589856:LCN589873 LMJ589856:LMJ589873 LWF589856:LWF589873 MGB589856:MGB589873 MPX589856:MPX589873 MZT589856:MZT589873 NJP589856:NJP589873 NTL589856:NTL589873 ODH589856:ODH589873 OND589856:OND589873 OWZ589856:OWZ589873 PGV589856:PGV589873 PQR589856:PQR589873 QAN589856:QAN589873 QKJ589856:QKJ589873 QUF589856:QUF589873 REB589856:REB589873 RNX589856:RNX589873 RXT589856:RXT589873 SHP589856:SHP589873 SRL589856:SRL589873 TBH589856:TBH589873 TLD589856:TLD589873 TUZ589856:TUZ589873 UEV589856:UEV589873 UOR589856:UOR589873 UYN589856:UYN589873 VIJ589856:VIJ589873 VSF589856:VSF589873 WCB589856:WCB589873 WLX589856:WLX589873 WVT589856:WVT589873 L655392:L655409 JH655392:JH655409 TD655392:TD655409 ACZ655392:ACZ655409 AMV655392:AMV655409 AWR655392:AWR655409 BGN655392:BGN655409 BQJ655392:BQJ655409 CAF655392:CAF655409 CKB655392:CKB655409 CTX655392:CTX655409 DDT655392:DDT655409 DNP655392:DNP655409 DXL655392:DXL655409 EHH655392:EHH655409 ERD655392:ERD655409 FAZ655392:FAZ655409 FKV655392:FKV655409 FUR655392:FUR655409 GEN655392:GEN655409 GOJ655392:GOJ655409 GYF655392:GYF655409 HIB655392:HIB655409 HRX655392:HRX655409 IBT655392:IBT655409 ILP655392:ILP655409 IVL655392:IVL655409 JFH655392:JFH655409 JPD655392:JPD655409 JYZ655392:JYZ655409 KIV655392:KIV655409 KSR655392:KSR655409 LCN655392:LCN655409 LMJ655392:LMJ655409 LWF655392:LWF655409 MGB655392:MGB655409 MPX655392:MPX655409 MZT655392:MZT655409 NJP655392:NJP655409 NTL655392:NTL655409 ODH655392:ODH655409 OND655392:OND655409 OWZ655392:OWZ655409 PGV655392:PGV655409 PQR655392:PQR655409 QAN655392:QAN655409 QKJ655392:QKJ655409 QUF655392:QUF655409 REB655392:REB655409 RNX655392:RNX655409 RXT655392:RXT655409 SHP655392:SHP655409 SRL655392:SRL655409 TBH655392:TBH655409 TLD655392:TLD655409 TUZ655392:TUZ655409 UEV655392:UEV655409 UOR655392:UOR655409 UYN655392:UYN655409 VIJ655392:VIJ655409 VSF655392:VSF655409 WCB655392:WCB655409 WLX655392:WLX655409 WVT655392:WVT655409 L720928:L720945 JH720928:JH720945 TD720928:TD720945 ACZ720928:ACZ720945 AMV720928:AMV720945 AWR720928:AWR720945 BGN720928:BGN720945 BQJ720928:BQJ720945 CAF720928:CAF720945 CKB720928:CKB720945 CTX720928:CTX720945 DDT720928:DDT720945 DNP720928:DNP720945 DXL720928:DXL720945 EHH720928:EHH720945 ERD720928:ERD720945 FAZ720928:FAZ720945 FKV720928:FKV720945 FUR720928:FUR720945 GEN720928:GEN720945 GOJ720928:GOJ720945 GYF720928:GYF720945 HIB720928:HIB720945 HRX720928:HRX720945 IBT720928:IBT720945 ILP720928:ILP720945 IVL720928:IVL720945 JFH720928:JFH720945 JPD720928:JPD720945 JYZ720928:JYZ720945 KIV720928:KIV720945 KSR720928:KSR720945 LCN720928:LCN720945 LMJ720928:LMJ720945 LWF720928:LWF720945 MGB720928:MGB720945 MPX720928:MPX720945 MZT720928:MZT720945 NJP720928:NJP720945 NTL720928:NTL720945 ODH720928:ODH720945 OND720928:OND720945 OWZ720928:OWZ720945 PGV720928:PGV720945 PQR720928:PQR720945 QAN720928:QAN720945 QKJ720928:QKJ720945 QUF720928:QUF720945 REB720928:REB720945 RNX720928:RNX720945 RXT720928:RXT720945 SHP720928:SHP720945 SRL720928:SRL720945 TBH720928:TBH720945 TLD720928:TLD720945 TUZ720928:TUZ720945 UEV720928:UEV720945 UOR720928:UOR720945 UYN720928:UYN720945 VIJ720928:VIJ720945 VSF720928:VSF720945 WCB720928:WCB720945 WLX720928:WLX720945 WVT720928:WVT720945 L786464:L786481 JH786464:JH786481 TD786464:TD786481 ACZ786464:ACZ786481 AMV786464:AMV786481 AWR786464:AWR786481 BGN786464:BGN786481 BQJ786464:BQJ786481 CAF786464:CAF786481 CKB786464:CKB786481 CTX786464:CTX786481 DDT786464:DDT786481 DNP786464:DNP786481 DXL786464:DXL786481 EHH786464:EHH786481 ERD786464:ERD786481 FAZ786464:FAZ786481 FKV786464:FKV786481 FUR786464:FUR786481 GEN786464:GEN786481 GOJ786464:GOJ786481 GYF786464:GYF786481 HIB786464:HIB786481 HRX786464:HRX786481 IBT786464:IBT786481 ILP786464:ILP786481 IVL786464:IVL786481 JFH786464:JFH786481 JPD786464:JPD786481 JYZ786464:JYZ786481 KIV786464:KIV786481 KSR786464:KSR786481 LCN786464:LCN786481 LMJ786464:LMJ786481 LWF786464:LWF786481 MGB786464:MGB786481 MPX786464:MPX786481 MZT786464:MZT786481 NJP786464:NJP786481 NTL786464:NTL786481 ODH786464:ODH786481 OND786464:OND786481 OWZ786464:OWZ786481 PGV786464:PGV786481 PQR786464:PQR786481 QAN786464:QAN786481 QKJ786464:QKJ786481 QUF786464:QUF786481 REB786464:REB786481 RNX786464:RNX786481 RXT786464:RXT786481 SHP786464:SHP786481 SRL786464:SRL786481 TBH786464:TBH786481 TLD786464:TLD786481 TUZ786464:TUZ786481 UEV786464:UEV786481 UOR786464:UOR786481 UYN786464:UYN786481 VIJ786464:VIJ786481 VSF786464:VSF786481 WCB786464:WCB786481 WLX786464:WLX786481 WVT786464:WVT786481 L852000:L852017 JH852000:JH852017 TD852000:TD852017 ACZ852000:ACZ852017 AMV852000:AMV852017 AWR852000:AWR852017 BGN852000:BGN852017 BQJ852000:BQJ852017 CAF852000:CAF852017 CKB852000:CKB852017 CTX852000:CTX852017 DDT852000:DDT852017 DNP852000:DNP852017 DXL852000:DXL852017 EHH852000:EHH852017 ERD852000:ERD852017 FAZ852000:FAZ852017 FKV852000:FKV852017 FUR852000:FUR852017 GEN852000:GEN852017 GOJ852000:GOJ852017 GYF852000:GYF852017 HIB852000:HIB852017 HRX852000:HRX852017 IBT852000:IBT852017 ILP852000:ILP852017 IVL852000:IVL852017 JFH852000:JFH852017 JPD852000:JPD852017 JYZ852000:JYZ852017 KIV852000:KIV852017 KSR852000:KSR852017 LCN852000:LCN852017 LMJ852000:LMJ852017 LWF852000:LWF852017 MGB852000:MGB852017 MPX852000:MPX852017 MZT852000:MZT852017 NJP852000:NJP852017 NTL852000:NTL852017 ODH852000:ODH852017 OND852000:OND852017 OWZ852000:OWZ852017 PGV852000:PGV852017 PQR852000:PQR852017 QAN852000:QAN852017 QKJ852000:QKJ852017 QUF852000:QUF852017 REB852000:REB852017 RNX852000:RNX852017 RXT852000:RXT852017 SHP852000:SHP852017 SRL852000:SRL852017 TBH852000:TBH852017 TLD852000:TLD852017 TUZ852000:TUZ852017 UEV852000:UEV852017 UOR852000:UOR852017 UYN852000:UYN852017 VIJ852000:VIJ852017 VSF852000:VSF852017 WCB852000:WCB852017 WLX852000:WLX852017 WVT852000:WVT852017 L917536:L917553 JH917536:JH917553 TD917536:TD917553 ACZ917536:ACZ917553 AMV917536:AMV917553 AWR917536:AWR917553 BGN917536:BGN917553 BQJ917536:BQJ917553 CAF917536:CAF917553 CKB917536:CKB917553 CTX917536:CTX917553 DDT917536:DDT917553 DNP917536:DNP917553 DXL917536:DXL917553 EHH917536:EHH917553 ERD917536:ERD917553 FAZ917536:FAZ917553 FKV917536:FKV917553 FUR917536:FUR917553 GEN917536:GEN917553 GOJ917536:GOJ917553 GYF917536:GYF917553 HIB917536:HIB917553 HRX917536:HRX917553 IBT917536:IBT917553 ILP917536:ILP917553 IVL917536:IVL917553 JFH917536:JFH917553 JPD917536:JPD917553 JYZ917536:JYZ917553 KIV917536:KIV917553 KSR917536:KSR917553 LCN917536:LCN917553 LMJ917536:LMJ917553 LWF917536:LWF917553 MGB917536:MGB917553 MPX917536:MPX917553 MZT917536:MZT917553 NJP917536:NJP917553 NTL917536:NTL917553 ODH917536:ODH917553 OND917536:OND917553 OWZ917536:OWZ917553 PGV917536:PGV917553 PQR917536:PQR917553 QAN917536:QAN917553 QKJ917536:QKJ917553 QUF917536:QUF917553 REB917536:REB917553 RNX917536:RNX917553 RXT917536:RXT917553 SHP917536:SHP917553 SRL917536:SRL917553 TBH917536:TBH917553 TLD917536:TLD917553 TUZ917536:TUZ917553 UEV917536:UEV917553 UOR917536:UOR917553 UYN917536:UYN917553 VIJ917536:VIJ917553 VSF917536:VSF917553 WCB917536:WCB917553 WLX917536:WLX917553 WVT917536:WVT917553 L983072:L983089 JH983072:JH983089 TD983072:TD983089 ACZ983072:ACZ983089 AMV983072:AMV983089 AWR983072:AWR983089 BGN983072:BGN983089 BQJ983072:BQJ983089 CAF983072:CAF983089 CKB983072:CKB983089 CTX983072:CTX983089 DDT983072:DDT983089 DNP983072:DNP983089 DXL983072:DXL983089 EHH983072:EHH983089 ERD983072:ERD983089 FAZ983072:FAZ983089 FKV983072:FKV983089 FUR983072:FUR983089 GEN983072:GEN983089 GOJ983072:GOJ983089 GYF983072:GYF983089 HIB983072:HIB983089 HRX983072:HRX983089 IBT983072:IBT983089 ILP983072:ILP983089 IVL983072:IVL983089 JFH983072:JFH983089 JPD983072:JPD983089 JYZ983072:JYZ983089 KIV983072:KIV983089 KSR983072:KSR983089 LCN983072:LCN983089 LMJ983072:LMJ983089 LWF983072:LWF983089 MGB983072:MGB983089 MPX983072:MPX983089 MZT983072:MZT983089 NJP983072:NJP983089 NTL983072:NTL983089 ODH983072:ODH983089 OND983072:OND983089 OWZ983072:OWZ983089 PGV983072:PGV983089 PQR983072:PQR983089 QAN983072:QAN983089 QKJ983072:QKJ983089 QUF983072:QUF983089 REB983072:REB983089 RNX983072:RNX983089 RXT983072:RXT983089 SHP983072:SHP983089 SRL983072:SRL983089 TBH983072:TBH983089 TLD983072:TLD983089 TUZ983072:TUZ983089 UEV983072:UEV983089 UOR983072:UOR983089 UYN983072:UYN983089 VIJ983072:VIJ983089 VSF983072:VSF983089 WCB983072:WCB983089 WLX983072:WLX983089 WVT983072:WVT983089">
      <formula1>$L$9:$L$25</formula1>
    </dataValidation>
    <dataValidation type="list" allowBlank="1" showInputMessage="1" showErrorMessage="1" sqref="G32:G49 JC32:JC49 SY32:SY49 ACU32:ACU49 AMQ32:AMQ49 AWM32:AWM49 BGI32:BGI49 BQE32:BQE49 CAA32:CAA49 CJW32:CJW49 CTS32:CTS49 DDO32:DDO49 DNK32:DNK49 DXG32:DXG49 EHC32:EHC49 EQY32:EQY49 FAU32:FAU49 FKQ32:FKQ49 FUM32:FUM49 GEI32:GEI49 GOE32:GOE49 GYA32:GYA49 HHW32:HHW49 HRS32:HRS49 IBO32:IBO49 ILK32:ILK49 IVG32:IVG49 JFC32:JFC49 JOY32:JOY49 JYU32:JYU49 KIQ32:KIQ49 KSM32:KSM49 LCI32:LCI49 LME32:LME49 LWA32:LWA49 MFW32:MFW49 MPS32:MPS49 MZO32:MZO49 NJK32:NJK49 NTG32:NTG49 ODC32:ODC49 OMY32:OMY49 OWU32:OWU49 PGQ32:PGQ49 PQM32:PQM49 QAI32:QAI49 QKE32:QKE49 QUA32:QUA49 RDW32:RDW49 RNS32:RNS49 RXO32:RXO49 SHK32:SHK49 SRG32:SRG49 TBC32:TBC49 TKY32:TKY49 TUU32:TUU49 UEQ32:UEQ49 UOM32:UOM49 UYI32:UYI49 VIE32:VIE49 VSA32:VSA49 WBW32:WBW49 WLS32:WLS49 WVO32:WVO49 G65568:G65585 JC65568:JC65585 SY65568:SY65585 ACU65568:ACU65585 AMQ65568:AMQ65585 AWM65568:AWM65585 BGI65568:BGI65585 BQE65568:BQE65585 CAA65568:CAA65585 CJW65568:CJW65585 CTS65568:CTS65585 DDO65568:DDO65585 DNK65568:DNK65585 DXG65568:DXG65585 EHC65568:EHC65585 EQY65568:EQY65585 FAU65568:FAU65585 FKQ65568:FKQ65585 FUM65568:FUM65585 GEI65568:GEI65585 GOE65568:GOE65585 GYA65568:GYA65585 HHW65568:HHW65585 HRS65568:HRS65585 IBO65568:IBO65585 ILK65568:ILK65585 IVG65568:IVG65585 JFC65568:JFC65585 JOY65568:JOY65585 JYU65568:JYU65585 KIQ65568:KIQ65585 KSM65568:KSM65585 LCI65568:LCI65585 LME65568:LME65585 LWA65568:LWA65585 MFW65568:MFW65585 MPS65568:MPS65585 MZO65568:MZO65585 NJK65568:NJK65585 NTG65568:NTG65585 ODC65568:ODC65585 OMY65568:OMY65585 OWU65568:OWU65585 PGQ65568:PGQ65585 PQM65568:PQM65585 QAI65568:QAI65585 QKE65568:QKE65585 QUA65568:QUA65585 RDW65568:RDW65585 RNS65568:RNS65585 RXO65568:RXO65585 SHK65568:SHK65585 SRG65568:SRG65585 TBC65568:TBC65585 TKY65568:TKY65585 TUU65568:TUU65585 UEQ65568:UEQ65585 UOM65568:UOM65585 UYI65568:UYI65585 VIE65568:VIE65585 VSA65568:VSA65585 WBW65568:WBW65585 WLS65568:WLS65585 WVO65568:WVO65585 G131104:G131121 JC131104:JC131121 SY131104:SY131121 ACU131104:ACU131121 AMQ131104:AMQ131121 AWM131104:AWM131121 BGI131104:BGI131121 BQE131104:BQE131121 CAA131104:CAA131121 CJW131104:CJW131121 CTS131104:CTS131121 DDO131104:DDO131121 DNK131104:DNK131121 DXG131104:DXG131121 EHC131104:EHC131121 EQY131104:EQY131121 FAU131104:FAU131121 FKQ131104:FKQ131121 FUM131104:FUM131121 GEI131104:GEI131121 GOE131104:GOE131121 GYA131104:GYA131121 HHW131104:HHW131121 HRS131104:HRS131121 IBO131104:IBO131121 ILK131104:ILK131121 IVG131104:IVG131121 JFC131104:JFC131121 JOY131104:JOY131121 JYU131104:JYU131121 KIQ131104:KIQ131121 KSM131104:KSM131121 LCI131104:LCI131121 LME131104:LME131121 LWA131104:LWA131121 MFW131104:MFW131121 MPS131104:MPS131121 MZO131104:MZO131121 NJK131104:NJK131121 NTG131104:NTG131121 ODC131104:ODC131121 OMY131104:OMY131121 OWU131104:OWU131121 PGQ131104:PGQ131121 PQM131104:PQM131121 QAI131104:QAI131121 QKE131104:QKE131121 QUA131104:QUA131121 RDW131104:RDW131121 RNS131104:RNS131121 RXO131104:RXO131121 SHK131104:SHK131121 SRG131104:SRG131121 TBC131104:TBC131121 TKY131104:TKY131121 TUU131104:TUU131121 UEQ131104:UEQ131121 UOM131104:UOM131121 UYI131104:UYI131121 VIE131104:VIE131121 VSA131104:VSA131121 WBW131104:WBW131121 WLS131104:WLS131121 WVO131104:WVO131121 G196640:G196657 JC196640:JC196657 SY196640:SY196657 ACU196640:ACU196657 AMQ196640:AMQ196657 AWM196640:AWM196657 BGI196640:BGI196657 BQE196640:BQE196657 CAA196640:CAA196657 CJW196640:CJW196657 CTS196640:CTS196657 DDO196640:DDO196657 DNK196640:DNK196657 DXG196640:DXG196657 EHC196640:EHC196657 EQY196640:EQY196657 FAU196640:FAU196657 FKQ196640:FKQ196657 FUM196640:FUM196657 GEI196640:GEI196657 GOE196640:GOE196657 GYA196640:GYA196657 HHW196640:HHW196657 HRS196640:HRS196657 IBO196640:IBO196657 ILK196640:ILK196657 IVG196640:IVG196657 JFC196640:JFC196657 JOY196640:JOY196657 JYU196640:JYU196657 KIQ196640:KIQ196657 KSM196640:KSM196657 LCI196640:LCI196657 LME196640:LME196657 LWA196640:LWA196657 MFW196640:MFW196657 MPS196640:MPS196657 MZO196640:MZO196657 NJK196640:NJK196657 NTG196640:NTG196657 ODC196640:ODC196657 OMY196640:OMY196657 OWU196640:OWU196657 PGQ196640:PGQ196657 PQM196640:PQM196657 QAI196640:QAI196657 QKE196640:QKE196657 QUA196640:QUA196657 RDW196640:RDW196657 RNS196640:RNS196657 RXO196640:RXO196657 SHK196640:SHK196657 SRG196640:SRG196657 TBC196640:TBC196657 TKY196640:TKY196657 TUU196640:TUU196657 UEQ196640:UEQ196657 UOM196640:UOM196657 UYI196640:UYI196657 VIE196640:VIE196657 VSA196640:VSA196657 WBW196640:WBW196657 WLS196640:WLS196657 WVO196640:WVO196657 G262176:G262193 JC262176:JC262193 SY262176:SY262193 ACU262176:ACU262193 AMQ262176:AMQ262193 AWM262176:AWM262193 BGI262176:BGI262193 BQE262176:BQE262193 CAA262176:CAA262193 CJW262176:CJW262193 CTS262176:CTS262193 DDO262176:DDO262193 DNK262176:DNK262193 DXG262176:DXG262193 EHC262176:EHC262193 EQY262176:EQY262193 FAU262176:FAU262193 FKQ262176:FKQ262193 FUM262176:FUM262193 GEI262176:GEI262193 GOE262176:GOE262193 GYA262176:GYA262193 HHW262176:HHW262193 HRS262176:HRS262193 IBO262176:IBO262193 ILK262176:ILK262193 IVG262176:IVG262193 JFC262176:JFC262193 JOY262176:JOY262193 JYU262176:JYU262193 KIQ262176:KIQ262193 KSM262176:KSM262193 LCI262176:LCI262193 LME262176:LME262193 LWA262176:LWA262193 MFW262176:MFW262193 MPS262176:MPS262193 MZO262176:MZO262193 NJK262176:NJK262193 NTG262176:NTG262193 ODC262176:ODC262193 OMY262176:OMY262193 OWU262176:OWU262193 PGQ262176:PGQ262193 PQM262176:PQM262193 QAI262176:QAI262193 QKE262176:QKE262193 QUA262176:QUA262193 RDW262176:RDW262193 RNS262176:RNS262193 RXO262176:RXO262193 SHK262176:SHK262193 SRG262176:SRG262193 TBC262176:TBC262193 TKY262176:TKY262193 TUU262176:TUU262193 UEQ262176:UEQ262193 UOM262176:UOM262193 UYI262176:UYI262193 VIE262176:VIE262193 VSA262176:VSA262193 WBW262176:WBW262193 WLS262176:WLS262193 WVO262176:WVO262193 G327712:G327729 JC327712:JC327729 SY327712:SY327729 ACU327712:ACU327729 AMQ327712:AMQ327729 AWM327712:AWM327729 BGI327712:BGI327729 BQE327712:BQE327729 CAA327712:CAA327729 CJW327712:CJW327729 CTS327712:CTS327729 DDO327712:DDO327729 DNK327712:DNK327729 DXG327712:DXG327729 EHC327712:EHC327729 EQY327712:EQY327729 FAU327712:FAU327729 FKQ327712:FKQ327729 FUM327712:FUM327729 GEI327712:GEI327729 GOE327712:GOE327729 GYA327712:GYA327729 HHW327712:HHW327729 HRS327712:HRS327729 IBO327712:IBO327729 ILK327712:ILK327729 IVG327712:IVG327729 JFC327712:JFC327729 JOY327712:JOY327729 JYU327712:JYU327729 KIQ327712:KIQ327729 KSM327712:KSM327729 LCI327712:LCI327729 LME327712:LME327729 LWA327712:LWA327729 MFW327712:MFW327729 MPS327712:MPS327729 MZO327712:MZO327729 NJK327712:NJK327729 NTG327712:NTG327729 ODC327712:ODC327729 OMY327712:OMY327729 OWU327712:OWU327729 PGQ327712:PGQ327729 PQM327712:PQM327729 QAI327712:QAI327729 QKE327712:QKE327729 QUA327712:QUA327729 RDW327712:RDW327729 RNS327712:RNS327729 RXO327712:RXO327729 SHK327712:SHK327729 SRG327712:SRG327729 TBC327712:TBC327729 TKY327712:TKY327729 TUU327712:TUU327729 UEQ327712:UEQ327729 UOM327712:UOM327729 UYI327712:UYI327729 VIE327712:VIE327729 VSA327712:VSA327729 WBW327712:WBW327729 WLS327712:WLS327729 WVO327712:WVO327729 G393248:G393265 JC393248:JC393265 SY393248:SY393265 ACU393248:ACU393265 AMQ393248:AMQ393265 AWM393248:AWM393265 BGI393248:BGI393265 BQE393248:BQE393265 CAA393248:CAA393265 CJW393248:CJW393265 CTS393248:CTS393265 DDO393248:DDO393265 DNK393248:DNK393265 DXG393248:DXG393265 EHC393248:EHC393265 EQY393248:EQY393265 FAU393248:FAU393265 FKQ393248:FKQ393265 FUM393248:FUM393265 GEI393248:GEI393265 GOE393248:GOE393265 GYA393248:GYA393265 HHW393248:HHW393265 HRS393248:HRS393265 IBO393248:IBO393265 ILK393248:ILK393265 IVG393248:IVG393265 JFC393248:JFC393265 JOY393248:JOY393265 JYU393248:JYU393265 KIQ393248:KIQ393265 KSM393248:KSM393265 LCI393248:LCI393265 LME393248:LME393265 LWA393248:LWA393265 MFW393248:MFW393265 MPS393248:MPS393265 MZO393248:MZO393265 NJK393248:NJK393265 NTG393248:NTG393265 ODC393248:ODC393265 OMY393248:OMY393265 OWU393248:OWU393265 PGQ393248:PGQ393265 PQM393248:PQM393265 QAI393248:QAI393265 QKE393248:QKE393265 QUA393248:QUA393265 RDW393248:RDW393265 RNS393248:RNS393265 RXO393248:RXO393265 SHK393248:SHK393265 SRG393248:SRG393265 TBC393248:TBC393265 TKY393248:TKY393265 TUU393248:TUU393265 UEQ393248:UEQ393265 UOM393248:UOM393265 UYI393248:UYI393265 VIE393248:VIE393265 VSA393248:VSA393265 WBW393248:WBW393265 WLS393248:WLS393265 WVO393248:WVO393265 G458784:G458801 JC458784:JC458801 SY458784:SY458801 ACU458784:ACU458801 AMQ458784:AMQ458801 AWM458784:AWM458801 BGI458784:BGI458801 BQE458784:BQE458801 CAA458784:CAA458801 CJW458784:CJW458801 CTS458784:CTS458801 DDO458784:DDO458801 DNK458784:DNK458801 DXG458784:DXG458801 EHC458784:EHC458801 EQY458784:EQY458801 FAU458784:FAU458801 FKQ458784:FKQ458801 FUM458784:FUM458801 GEI458784:GEI458801 GOE458784:GOE458801 GYA458784:GYA458801 HHW458784:HHW458801 HRS458784:HRS458801 IBO458784:IBO458801 ILK458784:ILK458801 IVG458784:IVG458801 JFC458784:JFC458801 JOY458784:JOY458801 JYU458784:JYU458801 KIQ458784:KIQ458801 KSM458784:KSM458801 LCI458784:LCI458801 LME458784:LME458801 LWA458784:LWA458801 MFW458784:MFW458801 MPS458784:MPS458801 MZO458784:MZO458801 NJK458784:NJK458801 NTG458784:NTG458801 ODC458784:ODC458801 OMY458784:OMY458801 OWU458784:OWU458801 PGQ458784:PGQ458801 PQM458784:PQM458801 QAI458784:QAI458801 QKE458784:QKE458801 QUA458784:QUA458801 RDW458784:RDW458801 RNS458784:RNS458801 RXO458784:RXO458801 SHK458784:SHK458801 SRG458784:SRG458801 TBC458784:TBC458801 TKY458784:TKY458801 TUU458784:TUU458801 UEQ458784:UEQ458801 UOM458784:UOM458801 UYI458784:UYI458801 VIE458784:VIE458801 VSA458784:VSA458801 WBW458784:WBW458801 WLS458784:WLS458801 WVO458784:WVO458801 G524320:G524337 JC524320:JC524337 SY524320:SY524337 ACU524320:ACU524337 AMQ524320:AMQ524337 AWM524320:AWM524337 BGI524320:BGI524337 BQE524320:BQE524337 CAA524320:CAA524337 CJW524320:CJW524337 CTS524320:CTS524337 DDO524320:DDO524337 DNK524320:DNK524337 DXG524320:DXG524337 EHC524320:EHC524337 EQY524320:EQY524337 FAU524320:FAU524337 FKQ524320:FKQ524337 FUM524320:FUM524337 GEI524320:GEI524337 GOE524320:GOE524337 GYA524320:GYA524337 HHW524320:HHW524337 HRS524320:HRS524337 IBO524320:IBO524337 ILK524320:ILK524337 IVG524320:IVG524337 JFC524320:JFC524337 JOY524320:JOY524337 JYU524320:JYU524337 KIQ524320:KIQ524337 KSM524320:KSM524337 LCI524320:LCI524337 LME524320:LME524337 LWA524320:LWA524337 MFW524320:MFW524337 MPS524320:MPS524337 MZO524320:MZO524337 NJK524320:NJK524337 NTG524320:NTG524337 ODC524320:ODC524337 OMY524320:OMY524337 OWU524320:OWU524337 PGQ524320:PGQ524337 PQM524320:PQM524337 QAI524320:QAI524337 QKE524320:QKE524337 QUA524320:QUA524337 RDW524320:RDW524337 RNS524320:RNS524337 RXO524320:RXO524337 SHK524320:SHK524337 SRG524320:SRG524337 TBC524320:TBC524337 TKY524320:TKY524337 TUU524320:TUU524337 UEQ524320:UEQ524337 UOM524320:UOM524337 UYI524320:UYI524337 VIE524320:VIE524337 VSA524320:VSA524337 WBW524320:WBW524337 WLS524320:WLS524337 WVO524320:WVO524337 G589856:G589873 JC589856:JC589873 SY589856:SY589873 ACU589856:ACU589873 AMQ589856:AMQ589873 AWM589856:AWM589873 BGI589856:BGI589873 BQE589856:BQE589873 CAA589856:CAA589873 CJW589856:CJW589873 CTS589856:CTS589873 DDO589856:DDO589873 DNK589856:DNK589873 DXG589856:DXG589873 EHC589856:EHC589873 EQY589856:EQY589873 FAU589856:FAU589873 FKQ589856:FKQ589873 FUM589856:FUM589873 GEI589856:GEI589873 GOE589856:GOE589873 GYA589856:GYA589873 HHW589856:HHW589873 HRS589856:HRS589873 IBO589856:IBO589873 ILK589856:ILK589873 IVG589856:IVG589873 JFC589856:JFC589873 JOY589856:JOY589873 JYU589856:JYU589873 KIQ589856:KIQ589873 KSM589856:KSM589873 LCI589856:LCI589873 LME589856:LME589873 LWA589856:LWA589873 MFW589856:MFW589873 MPS589856:MPS589873 MZO589856:MZO589873 NJK589856:NJK589873 NTG589856:NTG589873 ODC589856:ODC589873 OMY589856:OMY589873 OWU589856:OWU589873 PGQ589856:PGQ589873 PQM589856:PQM589873 QAI589856:QAI589873 QKE589856:QKE589873 QUA589856:QUA589873 RDW589856:RDW589873 RNS589856:RNS589873 RXO589856:RXO589873 SHK589856:SHK589873 SRG589856:SRG589873 TBC589856:TBC589873 TKY589856:TKY589873 TUU589856:TUU589873 UEQ589856:UEQ589873 UOM589856:UOM589873 UYI589856:UYI589873 VIE589856:VIE589873 VSA589856:VSA589873 WBW589856:WBW589873 WLS589856:WLS589873 WVO589856:WVO589873 G655392:G655409 JC655392:JC655409 SY655392:SY655409 ACU655392:ACU655409 AMQ655392:AMQ655409 AWM655392:AWM655409 BGI655392:BGI655409 BQE655392:BQE655409 CAA655392:CAA655409 CJW655392:CJW655409 CTS655392:CTS655409 DDO655392:DDO655409 DNK655392:DNK655409 DXG655392:DXG655409 EHC655392:EHC655409 EQY655392:EQY655409 FAU655392:FAU655409 FKQ655392:FKQ655409 FUM655392:FUM655409 GEI655392:GEI655409 GOE655392:GOE655409 GYA655392:GYA655409 HHW655392:HHW655409 HRS655392:HRS655409 IBO655392:IBO655409 ILK655392:ILK655409 IVG655392:IVG655409 JFC655392:JFC655409 JOY655392:JOY655409 JYU655392:JYU655409 KIQ655392:KIQ655409 KSM655392:KSM655409 LCI655392:LCI655409 LME655392:LME655409 LWA655392:LWA655409 MFW655392:MFW655409 MPS655392:MPS655409 MZO655392:MZO655409 NJK655392:NJK655409 NTG655392:NTG655409 ODC655392:ODC655409 OMY655392:OMY655409 OWU655392:OWU655409 PGQ655392:PGQ655409 PQM655392:PQM655409 QAI655392:QAI655409 QKE655392:QKE655409 QUA655392:QUA655409 RDW655392:RDW655409 RNS655392:RNS655409 RXO655392:RXO655409 SHK655392:SHK655409 SRG655392:SRG655409 TBC655392:TBC655409 TKY655392:TKY655409 TUU655392:TUU655409 UEQ655392:UEQ655409 UOM655392:UOM655409 UYI655392:UYI655409 VIE655392:VIE655409 VSA655392:VSA655409 WBW655392:WBW655409 WLS655392:WLS655409 WVO655392:WVO655409 G720928:G720945 JC720928:JC720945 SY720928:SY720945 ACU720928:ACU720945 AMQ720928:AMQ720945 AWM720928:AWM720945 BGI720928:BGI720945 BQE720928:BQE720945 CAA720928:CAA720945 CJW720928:CJW720945 CTS720928:CTS720945 DDO720928:DDO720945 DNK720928:DNK720945 DXG720928:DXG720945 EHC720928:EHC720945 EQY720928:EQY720945 FAU720928:FAU720945 FKQ720928:FKQ720945 FUM720928:FUM720945 GEI720928:GEI720945 GOE720928:GOE720945 GYA720928:GYA720945 HHW720928:HHW720945 HRS720928:HRS720945 IBO720928:IBO720945 ILK720928:ILK720945 IVG720928:IVG720945 JFC720928:JFC720945 JOY720928:JOY720945 JYU720928:JYU720945 KIQ720928:KIQ720945 KSM720928:KSM720945 LCI720928:LCI720945 LME720928:LME720945 LWA720928:LWA720945 MFW720928:MFW720945 MPS720928:MPS720945 MZO720928:MZO720945 NJK720928:NJK720945 NTG720928:NTG720945 ODC720928:ODC720945 OMY720928:OMY720945 OWU720928:OWU720945 PGQ720928:PGQ720945 PQM720928:PQM720945 QAI720928:QAI720945 QKE720928:QKE720945 QUA720928:QUA720945 RDW720928:RDW720945 RNS720928:RNS720945 RXO720928:RXO720945 SHK720928:SHK720945 SRG720928:SRG720945 TBC720928:TBC720945 TKY720928:TKY720945 TUU720928:TUU720945 UEQ720928:UEQ720945 UOM720928:UOM720945 UYI720928:UYI720945 VIE720928:VIE720945 VSA720928:VSA720945 WBW720928:WBW720945 WLS720928:WLS720945 WVO720928:WVO720945 G786464:G786481 JC786464:JC786481 SY786464:SY786481 ACU786464:ACU786481 AMQ786464:AMQ786481 AWM786464:AWM786481 BGI786464:BGI786481 BQE786464:BQE786481 CAA786464:CAA786481 CJW786464:CJW786481 CTS786464:CTS786481 DDO786464:DDO786481 DNK786464:DNK786481 DXG786464:DXG786481 EHC786464:EHC786481 EQY786464:EQY786481 FAU786464:FAU786481 FKQ786464:FKQ786481 FUM786464:FUM786481 GEI786464:GEI786481 GOE786464:GOE786481 GYA786464:GYA786481 HHW786464:HHW786481 HRS786464:HRS786481 IBO786464:IBO786481 ILK786464:ILK786481 IVG786464:IVG786481 JFC786464:JFC786481 JOY786464:JOY786481 JYU786464:JYU786481 KIQ786464:KIQ786481 KSM786464:KSM786481 LCI786464:LCI786481 LME786464:LME786481 LWA786464:LWA786481 MFW786464:MFW786481 MPS786464:MPS786481 MZO786464:MZO786481 NJK786464:NJK786481 NTG786464:NTG786481 ODC786464:ODC786481 OMY786464:OMY786481 OWU786464:OWU786481 PGQ786464:PGQ786481 PQM786464:PQM786481 QAI786464:QAI786481 QKE786464:QKE786481 QUA786464:QUA786481 RDW786464:RDW786481 RNS786464:RNS786481 RXO786464:RXO786481 SHK786464:SHK786481 SRG786464:SRG786481 TBC786464:TBC786481 TKY786464:TKY786481 TUU786464:TUU786481 UEQ786464:UEQ786481 UOM786464:UOM786481 UYI786464:UYI786481 VIE786464:VIE786481 VSA786464:VSA786481 WBW786464:WBW786481 WLS786464:WLS786481 WVO786464:WVO786481 G852000:G852017 JC852000:JC852017 SY852000:SY852017 ACU852000:ACU852017 AMQ852000:AMQ852017 AWM852000:AWM852017 BGI852000:BGI852017 BQE852000:BQE852017 CAA852000:CAA852017 CJW852000:CJW852017 CTS852000:CTS852017 DDO852000:DDO852017 DNK852000:DNK852017 DXG852000:DXG852017 EHC852000:EHC852017 EQY852000:EQY852017 FAU852000:FAU852017 FKQ852000:FKQ852017 FUM852000:FUM852017 GEI852000:GEI852017 GOE852000:GOE852017 GYA852000:GYA852017 HHW852000:HHW852017 HRS852000:HRS852017 IBO852000:IBO852017 ILK852000:ILK852017 IVG852000:IVG852017 JFC852000:JFC852017 JOY852000:JOY852017 JYU852000:JYU852017 KIQ852000:KIQ852017 KSM852000:KSM852017 LCI852000:LCI852017 LME852000:LME852017 LWA852000:LWA852017 MFW852000:MFW852017 MPS852000:MPS852017 MZO852000:MZO852017 NJK852000:NJK852017 NTG852000:NTG852017 ODC852000:ODC852017 OMY852000:OMY852017 OWU852000:OWU852017 PGQ852000:PGQ852017 PQM852000:PQM852017 QAI852000:QAI852017 QKE852000:QKE852017 QUA852000:QUA852017 RDW852000:RDW852017 RNS852000:RNS852017 RXO852000:RXO852017 SHK852000:SHK852017 SRG852000:SRG852017 TBC852000:TBC852017 TKY852000:TKY852017 TUU852000:TUU852017 UEQ852000:UEQ852017 UOM852000:UOM852017 UYI852000:UYI852017 VIE852000:VIE852017 VSA852000:VSA852017 WBW852000:WBW852017 WLS852000:WLS852017 WVO852000:WVO852017 G917536:G917553 JC917536:JC917553 SY917536:SY917553 ACU917536:ACU917553 AMQ917536:AMQ917553 AWM917536:AWM917553 BGI917536:BGI917553 BQE917536:BQE917553 CAA917536:CAA917553 CJW917536:CJW917553 CTS917536:CTS917553 DDO917536:DDO917553 DNK917536:DNK917553 DXG917536:DXG917553 EHC917536:EHC917553 EQY917536:EQY917553 FAU917536:FAU917553 FKQ917536:FKQ917553 FUM917536:FUM917553 GEI917536:GEI917553 GOE917536:GOE917553 GYA917536:GYA917553 HHW917536:HHW917553 HRS917536:HRS917553 IBO917536:IBO917553 ILK917536:ILK917553 IVG917536:IVG917553 JFC917536:JFC917553 JOY917536:JOY917553 JYU917536:JYU917553 KIQ917536:KIQ917553 KSM917536:KSM917553 LCI917536:LCI917553 LME917536:LME917553 LWA917536:LWA917553 MFW917536:MFW917553 MPS917536:MPS917553 MZO917536:MZO917553 NJK917536:NJK917553 NTG917536:NTG917553 ODC917536:ODC917553 OMY917536:OMY917553 OWU917536:OWU917553 PGQ917536:PGQ917553 PQM917536:PQM917553 QAI917536:QAI917553 QKE917536:QKE917553 QUA917536:QUA917553 RDW917536:RDW917553 RNS917536:RNS917553 RXO917536:RXO917553 SHK917536:SHK917553 SRG917536:SRG917553 TBC917536:TBC917553 TKY917536:TKY917553 TUU917536:TUU917553 UEQ917536:UEQ917553 UOM917536:UOM917553 UYI917536:UYI917553 VIE917536:VIE917553 VSA917536:VSA917553 WBW917536:WBW917553 WLS917536:WLS917553 WVO917536:WVO917553 G983072:G983089 JC983072:JC983089 SY983072:SY983089 ACU983072:ACU983089 AMQ983072:AMQ983089 AWM983072:AWM983089 BGI983072:BGI983089 BQE983072:BQE983089 CAA983072:CAA983089 CJW983072:CJW983089 CTS983072:CTS983089 DDO983072:DDO983089 DNK983072:DNK983089 DXG983072:DXG983089 EHC983072:EHC983089 EQY983072:EQY983089 FAU983072:FAU983089 FKQ983072:FKQ983089 FUM983072:FUM983089 GEI983072:GEI983089 GOE983072:GOE983089 GYA983072:GYA983089 HHW983072:HHW983089 HRS983072:HRS983089 IBO983072:IBO983089 ILK983072:ILK983089 IVG983072:IVG983089 JFC983072:JFC983089 JOY983072:JOY983089 JYU983072:JYU983089 KIQ983072:KIQ983089 KSM983072:KSM983089 LCI983072:LCI983089 LME983072:LME983089 LWA983072:LWA983089 MFW983072:MFW983089 MPS983072:MPS983089 MZO983072:MZO983089 NJK983072:NJK983089 NTG983072:NTG983089 ODC983072:ODC983089 OMY983072:OMY983089 OWU983072:OWU983089 PGQ983072:PGQ983089 PQM983072:PQM983089 QAI983072:QAI983089 QKE983072:QKE983089 QUA983072:QUA983089 RDW983072:RDW983089 RNS983072:RNS983089 RXO983072:RXO983089 SHK983072:SHK983089 SRG983072:SRG983089 TBC983072:TBC983089 TKY983072:TKY983089 TUU983072:TUU983089 UEQ983072:UEQ983089 UOM983072:UOM983089 UYI983072:UYI983089 VIE983072:VIE983089 VSA983072:VSA983089 WBW983072:WBW983089 WLS983072:WLS983089 WVO983072:WVO983089">
      <formula1>$R$70:$R$90</formula1>
    </dataValidation>
  </dataValidations>
  <printOptions horizontalCentered="1" verticalCentered="1"/>
  <pageMargins left="0.25" right="0.25" top="0.25" bottom="0.25" header="0.5" footer="0.5"/>
  <pageSetup paperSize="5" scale="56" orientation="landscape" r:id="rId1"/>
  <headerFooter alignWithMargins="0"/>
  <rowBreaks count="1" manualBreakCount="1">
    <brk id="67" min="3" max="25" man="1"/>
  </rowBreaks>
  <legacyDrawing r:id="rId2"/>
</worksheet>
</file>

<file path=xl/worksheets/sheet3.xml><?xml version="1.0" encoding="utf-8"?>
<worksheet xmlns="http://schemas.openxmlformats.org/spreadsheetml/2006/main" xmlns:r="http://schemas.openxmlformats.org/officeDocument/2006/relationships">
  <sheetPr>
    <tabColor indexed="57"/>
    <pageSetUpPr fitToPage="1"/>
  </sheetPr>
  <dimension ref="A1:BA92"/>
  <sheetViews>
    <sheetView showGridLines="0" view="pageBreakPreview" topLeftCell="D1" zoomScale="85" zoomScaleNormal="70" zoomScaleSheetLayoutView="85" workbookViewId="0">
      <selection activeCell="I47" sqref="I47"/>
    </sheetView>
  </sheetViews>
  <sheetFormatPr defaultRowHeight="12.75" outlineLevelRow="1" outlineLevelCol="1"/>
  <cols>
    <col min="1" max="1" width="9.5703125" style="45" bestFit="1" customWidth="1"/>
    <col min="2" max="2" width="9.5703125" style="45" customWidth="1"/>
    <col min="3" max="3" width="9.140625" style="45"/>
    <col min="4" max="4" width="3.85546875" style="45" customWidth="1"/>
    <col min="5" max="5" width="17.7109375" style="47" customWidth="1"/>
    <col min="6" max="7" width="10.5703125" style="47" customWidth="1"/>
    <col min="8" max="8" width="3" style="47" customWidth="1"/>
    <col min="9" max="9" width="11.28515625" style="47" bestFit="1" customWidth="1"/>
    <col min="10" max="10" width="16.5703125" style="47" hidden="1" customWidth="1" outlineLevel="1"/>
    <col min="11" max="11" width="20.42578125" style="47" hidden="1" customWidth="1" outlineLevel="1"/>
    <col min="12" max="12" width="14" style="47" bestFit="1" customWidth="1" collapsed="1"/>
    <col min="13" max="13" width="14.7109375" style="47" bestFit="1" customWidth="1"/>
    <col min="14" max="14" width="12" style="47" customWidth="1"/>
    <col min="15" max="15" width="11.140625" style="47" customWidth="1" outlineLevel="1"/>
    <col min="16" max="16" width="9.85546875" style="47" customWidth="1" outlineLevel="1"/>
    <col min="17" max="17" width="9.85546875" style="47" bestFit="1" customWidth="1"/>
    <col min="18" max="18" width="16.5703125" style="47" bestFit="1" customWidth="1"/>
    <col min="19" max="19" width="20" style="47" bestFit="1" customWidth="1"/>
    <col min="20" max="20" width="10.5703125" style="47" bestFit="1" customWidth="1"/>
    <col min="21" max="23" width="12.28515625" style="47" bestFit="1" customWidth="1" outlineLevel="1"/>
    <col min="24" max="25" width="8.42578125" style="47" bestFit="1" customWidth="1" outlineLevel="1"/>
    <col min="26" max="26" width="10.5703125" style="47" customWidth="1"/>
    <col min="27" max="27" width="8.85546875" style="47" bestFit="1" customWidth="1"/>
    <col min="28" max="28" width="11.140625" style="47" customWidth="1"/>
    <col min="29" max="29" width="10" style="47" customWidth="1"/>
    <col min="30" max="30" width="10.42578125" style="47" customWidth="1"/>
    <col min="31" max="31" width="13.28515625" style="47" customWidth="1"/>
    <col min="32" max="32" width="12.42578125" style="47" customWidth="1" outlineLevel="1"/>
    <col min="33" max="35" width="10.7109375" style="47" customWidth="1" outlineLevel="1"/>
    <col min="36" max="36" width="9.85546875" style="47" customWidth="1" outlineLevel="1"/>
    <col min="37" max="42" width="11.140625" style="47" customWidth="1" outlineLevel="1"/>
    <col min="43" max="43" width="11.28515625" style="47" customWidth="1" outlineLevel="1" collapsed="1"/>
    <col min="44" max="44" width="10.28515625" style="47" customWidth="1" outlineLevel="1"/>
    <col min="45" max="45" width="11.140625" style="47" customWidth="1" outlineLevel="1"/>
    <col min="46" max="46" width="10.7109375" style="47" customWidth="1" outlineLevel="1"/>
    <col min="47" max="47" width="3.5703125" style="45" customWidth="1" outlineLevel="1"/>
    <col min="48" max="48" width="13.7109375" style="47" customWidth="1" outlineLevel="1"/>
    <col min="49" max="49" width="13.7109375" style="45" customWidth="1"/>
    <col min="50" max="51" width="9.140625" style="45" customWidth="1"/>
    <col min="52" max="53" width="19.85546875" style="46" bestFit="1" customWidth="1"/>
    <col min="54" max="16384" width="9.140625" style="45"/>
  </cols>
  <sheetData>
    <row r="1" spans="1:53">
      <c r="E1" s="239" t="s">
        <v>185</v>
      </c>
      <c r="F1" s="236" t="s">
        <v>229</v>
      </c>
      <c r="G1" s="235"/>
      <c r="H1" s="235"/>
      <c r="I1" s="235"/>
      <c r="J1" s="238"/>
      <c r="K1" s="238"/>
      <c r="L1" s="235"/>
      <c r="M1" s="237" t="s">
        <v>184</v>
      </c>
      <c r="N1" s="236" t="s">
        <v>226</v>
      </c>
      <c r="O1" s="235"/>
      <c r="P1" s="235"/>
      <c r="Q1" s="235"/>
      <c r="R1" s="235"/>
      <c r="S1" s="235"/>
      <c r="T1" s="235"/>
      <c r="U1" s="235"/>
      <c r="V1" s="235"/>
      <c r="W1" s="235"/>
      <c r="X1" s="235"/>
      <c r="Y1" s="235"/>
      <c r="Z1" s="235"/>
      <c r="AA1" s="235"/>
      <c r="AB1" s="235"/>
      <c r="AC1" s="235"/>
      <c r="AD1" s="235"/>
      <c r="AE1" s="235"/>
      <c r="AF1" s="234"/>
      <c r="AZ1" s="233"/>
      <c r="BA1" s="233"/>
    </row>
    <row r="2" spans="1:53">
      <c r="E2" s="91" t="s">
        <v>183</v>
      </c>
      <c r="F2" s="319" t="s">
        <v>228</v>
      </c>
      <c r="G2" s="319"/>
      <c r="H2" s="319"/>
      <c r="I2" s="319"/>
      <c r="J2" s="319"/>
      <c r="K2" s="319"/>
      <c r="L2" s="320"/>
      <c r="M2" s="151" t="s">
        <v>182</v>
      </c>
      <c r="N2" s="232" t="s">
        <v>227</v>
      </c>
      <c r="O2" s="45"/>
      <c r="P2" s="45"/>
      <c r="Q2" s="45"/>
      <c r="R2" s="45"/>
      <c r="S2" s="45"/>
      <c r="T2" s="45"/>
      <c r="U2" s="45"/>
      <c r="V2" s="45"/>
      <c r="W2" s="45"/>
      <c r="X2" s="45"/>
      <c r="Y2" s="45"/>
      <c r="Z2" s="45"/>
      <c r="AA2" s="45"/>
      <c r="AB2" s="45"/>
      <c r="AC2" s="45"/>
      <c r="AD2" s="45"/>
      <c r="AE2" s="45"/>
      <c r="AF2" s="90"/>
    </row>
    <row r="3" spans="1:53" s="83" customFormat="1" ht="13.5" thickBot="1">
      <c r="A3" s="45"/>
      <c r="B3" s="45"/>
      <c r="C3" s="45"/>
      <c r="D3" s="45"/>
      <c r="E3" s="84" t="s">
        <v>181</v>
      </c>
      <c r="F3" s="231" t="s">
        <v>180</v>
      </c>
      <c r="J3" s="230"/>
      <c r="K3" s="230"/>
      <c r="M3" s="229"/>
      <c r="Q3" s="228"/>
      <c r="AF3" s="79"/>
      <c r="AK3" s="228"/>
      <c r="AL3" s="228"/>
      <c r="AM3" s="228"/>
      <c r="AN3" s="228"/>
      <c r="AO3" s="228"/>
      <c r="AP3" s="228"/>
      <c r="AZ3" s="227"/>
      <c r="BA3" s="227"/>
    </row>
    <row r="4" spans="1:53">
      <c r="E4" s="91"/>
      <c r="F4" s="45"/>
      <c r="G4" s="45"/>
      <c r="H4" s="45"/>
      <c r="I4" s="45"/>
      <c r="J4" s="226"/>
      <c r="K4" s="226"/>
      <c r="L4" s="45"/>
      <c r="M4" s="45"/>
      <c r="N4" s="45"/>
      <c r="O4" s="45"/>
      <c r="P4" s="45"/>
      <c r="Q4" s="45"/>
      <c r="R4" s="45"/>
      <c r="S4" s="45"/>
      <c r="T4" s="45"/>
      <c r="U4" s="45"/>
      <c r="V4" s="45"/>
      <c r="W4" s="45"/>
      <c r="X4" s="45"/>
      <c r="Y4" s="45"/>
      <c r="Z4" s="45"/>
      <c r="AA4" s="45"/>
      <c r="AB4" s="45"/>
      <c r="AC4" s="45"/>
      <c r="AD4" s="45"/>
      <c r="AE4" s="45"/>
      <c r="AF4" s="246"/>
      <c r="AT4" s="45"/>
    </row>
    <row r="5" spans="1:53" hidden="1" outlineLevel="1">
      <c r="E5" s="91"/>
      <c r="F5" s="45"/>
      <c r="G5" s="45"/>
      <c r="H5" s="45"/>
      <c r="I5" s="45"/>
      <c r="J5" s="225"/>
      <c r="K5" s="225"/>
      <c r="L5" s="224"/>
      <c r="M5" s="45"/>
      <c r="N5" s="146" t="str">
        <f>N28&amp;"%"</f>
        <v>B%</v>
      </c>
      <c r="O5" s="146" t="str">
        <f>O28&amp;"%"</f>
        <v>%</v>
      </c>
      <c r="P5" s="146" t="str">
        <f>P28&amp;"%"</f>
        <v>%</v>
      </c>
      <c r="Q5" s="146" t="str">
        <f>Q28&amp;"%"</f>
        <v>C%</v>
      </c>
      <c r="R5" s="146" t="str">
        <f>R28&amp;"%"</f>
        <v>D%</v>
      </c>
      <c r="S5" s="146"/>
      <c r="T5" s="146"/>
      <c r="U5" s="146" t="str">
        <f t="shared" ref="U5:Z5" si="0">U28&amp;"%"</f>
        <v>%</v>
      </c>
      <c r="V5" s="146" t="str">
        <f t="shared" si="0"/>
        <v>%</v>
      </c>
      <c r="W5" s="146" t="str">
        <f t="shared" si="0"/>
        <v>%</v>
      </c>
      <c r="X5" s="146" t="str">
        <f t="shared" si="0"/>
        <v>%</v>
      </c>
      <c r="Y5" s="146" t="str">
        <f t="shared" si="0"/>
        <v>%</v>
      </c>
      <c r="Z5" s="146" t="str">
        <f t="shared" si="0"/>
        <v>E%</v>
      </c>
      <c r="AA5" s="146"/>
      <c r="AB5" s="146" t="str">
        <f>AB28&amp;"%"</f>
        <v>G%</v>
      </c>
      <c r="AC5" s="45"/>
      <c r="AD5" s="45"/>
      <c r="AE5" s="45"/>
      <c r="AF5" s="246"/>
      <c r="AJ5" s="146"/>
      <c r="AK5" s="146"/>
      <c r="AL5" s="146"/>
      <c r="AM5" s="146"/>
      <c r="AN5" s="146"/>
      <c r="AO5" s="146"/>
      <c r="AP5" s="146"/>
      <c r="AQ5" s="146"/>
      <c r="AR5" s="146"/>
      <c r="AS5" s="146"/>
      <c r="AT5" s="220"/>
      <c r="AU5" s="143"/>
    </row>
    <row r="6" spans="1:53" hidden="1" outlineLevel="1">
      <c r="E6" s="91"/>
      <c r="F6" s="45"/>
      <c r="G6" s="45"/>
      <c r="H6" s="45"/>
      <c r="I6" s="223"/>
      <c r="J6" s="221"/>
      <c r="K6" s="146"/>
      <c r="L6" s="222">
        <f t="shared" ref="L6:R6" ca="1" si="1">COLUMN(L6)-COLUMN(OFFSET($L6,0,-1))</f>
        <v>1</v>
      </c>
      <c r="M6" s="222">
        <f t="shared" ca="1" si="1"/>
        <v>2</v>
      </c>
      <c r="N6" s="222">
        <f t="shared" ca="1" si="1"/>
        <v>3</v>
      </c>
      <c r="O6" s="222">
        <f t="shared" ca="1" si="1"/>
        <v>4</v>
      </c>
      <c r="P6" s="222">
        <f t="shared" ca="1" si="1"/>
        <v>5</v>
      </c>
      <c r="Q6" s="222">
        <f t="shared" ca="1" si="1"/>
        <v>6</v>
      </c>
      <c r="R6" s="222">
        <f t="shared" ca="1" si="1"/>
        <v>7</v>
      </c>
      <c r="S6" s="222"/>
      <c r="T6" s="222"/>
      <c r="U6" s="222">
        <f t="shared" ref="U6:Z6" ca="1" si="2">COLUMN(U6)-COLUMN(OFFSET($L6,0,-1))</f>
        <v>10</v>
      </c>
      <c r="V6" s="222">
        <f t="shared" ca="1" si="2"/>
        <v>11</v>
      </c>
      <c r="W6" s="222">
        <f t="shared" ca="1" si="2"/>
        <v>12</v>
      </c>
      <c r="X6" s="222">
        <f t="shared" ca="1" si="2"/>
        <v>13</v>
      </c>
      <c r="Y6" s="222">
        <f t="shared" ca="1" si="2"/>
        <v>14</v>
      </c>
      <c r="Z6" s="222">
        <f t="shared" ca="1" si="2"/>
        <v>15</v>
      </c>
      <c r="AA6" s="222"/>
      <c r="AB6" s="222">
        <f ca="1">COLUMN(AB6)-COLUMN(OFFSET($L6,0,-1))</f>
        <v>17</v>
      </c>
      <c r="AC6" s="45"/>
      <c r="AD6" s="45"/>
      <c r="AE6" s="45"/>
      <c r="AF6" s="246"/>
      <c r="AG6" s="221"/>
      <c r="AH6" s="221"/>
      <c r="AI6" s="221"/>
      <c r="AJ6" s="146"/>
      <c r="AK6" s="146"/>
      <c r="AL6" s="146"/>
      <c r="AM6" s="146"/>
      <c r="AN6" s="146"/>
      <c r="AO6" s="146"/>
      <c r="AP6" s="146"/>
      <c r="AQ6" s="146"/>
      <c r="AR6" s="146"/>
      <c r="AS6" s="146"/>
      <c r="AT6" s="220"/>
      <c r="AU6" s="143"/>
    </row>
    <row r="7" spans="1:53" collapsed="1">
      <c r="E7" s="219"/>
      <c r="F7" s="139" t="s">
        <v>179</v>
      </c>
      <c r="G7" s="139" t="s">
        <v>178</v>
      </c>
      <c r="H7" s="139"/>
      <c r="I7" s="69"/>
      <c r="J7" s="213"/>
      <c r="K7" s="213"/>
      <c r="L7" s="218"/>
      <c r="M7" s="217"/>
      <c r="N7" s="217"/>
      <c r="O7" s="217"/>
      <c r="P7" s="217"/>
      <c r="Q7" s="217" t="s">
        <v>261</v>
      </c>
      <c r="R7" s="217"/>
      <c r="S7" s="217"/>
      <c r="T7" s="217"/>
      <c r="U7" s="217"/>
      <c r="V7" s="217"/>
      <c r="W7" s="217"/>
      <c r="X7" s="217"/>
      <c r="Y7" s="217"/>
      <c r="Z7" s="217" t="str">
        <f>$Q7</f>
        <v>Contr/Govt</v>
      </c>
      <c r="AA7" s="217"/>
      <c r="AB7" s="216"/>
      <c r="AC7" s="45"/>
      <c r="AD7" s="45"/>
      <c r="AE7" s="45"/>
      <c r="AF7" s="215"/>
      <c r="AG7" s="213"/>
      <c r="AH7" s="213"/>
      <c r="AI7" s="213"/>
      <c r="AJ7" s="213"/>
      <c r="AK7" s="213"/>
      <c r="AL7" s="213"/>
      <c r="AM7" s="213"/>
      <c r="AN7" s="213"/>
      <c r="AO7" s="213"/>
      <c r="AP7" s="213"/>
      <c r="AQ7" s="213"/>
      <c r="AR7" s="213"/>
      <c r="AS7" s="212"/>
      <c r="AT7" s="151"/>
    </row>
    <row r="8" spans="1:53" ht="14.25" customHeight="1">
      <c r="E8" s="211" t="s">
        <v>267</v>
      </c>
      <c r="F8" s="210">
        <v>40544</v>
      </c>
      <c r="G8" s="209">
        <v>40908</v>
      </c>
      <c r="H8" s="208"/>
      <c r="I8" s="164"/>
      <c r="J8" s="205" t="s">
        <v>177</v>
      </c>
      <c r="K8" s="205" t="s">
        <v>176</v>
      </c>
      <c r="L8" s="75" t="s">
        <v>175</v>
      </c>
      <c r="M8" s="205" t="s">
        <v>174</v>
      </c>
      <c r="N8" s="205" t="s">
        <v>173</v>
      </c>
      <c r="O8" s="205" t="s">
        <v>172</v>
      </c>
      <c r="P8" s="205" t="s">
        <v>171</v>
      </c>
      <c r="Q8" s="205" t="s">
        <v>170</v>
      </c>
      <c r="R8" s="205" t="s">
        <v>169</v>
      </c>
      <c r="S8" s="205" t="s">
        <v>168</v>
      </c>
      <c r="T8" s="205" t="s">
        <v>167</v>
      </c>
      <c r="U8" s="205" t="s">
        <v>166</v>
      </c>
      <c r="V8" s="205" t="s">
        <v>165</v>
      </c>
      <c r="W8" s="205" t="s">
        <v>164</v>
      </c>
      <c r="X8" s="205" t="s">
        <v>163</v>
      </c>
      <c r="Y8" s="205" t="s">
        <v>162</v>
      </c>
      <c r="Z8" s="205" t="s">
        <v>161</v>
      </c>
      <c r="AA8" s="205" t="s">
        <v>160</v>
      </c>
      <c r="AB8" s="71" t="s">
        <v>159</v>
      </c>
      <c r="AC8" s="45"/>
      <c r="AD8" s="45"/>
      <c r="AE8" s="45"/>
      <c r="AF8" s="207" t="s">
        <v>158</v>
      </c>
      <c r="AG8" s="205"/>
      <c r="AH8" s="205"/>
      <c r="AI8" s="205"/>
      <c r="AJ8" s="205"/>
      <c r="AK8" s="205"/>
      <c r="AL8" s="205"/>
      <c r="AM8" s="205"/>
      <c r="AN8" s="205"/>
      <c r="AO8" s="205"/>
      <c r="AP8" s="205"/>
      <c r="AQ8" s="205"/>
      <c r="AR8" s="205"/>
      <c r="AS8" s="205"/>
      <c r="AT8" s="151"/>
    </row>
    <row r="9" spans="1:53" hidden="1">
      <c r="B9" s="45">
        <v>750</v>
      </c>
      <c r="E9" s="91"/>
      <c r="F9" s="45"/>
      <c r="G9" s="45"/>
      <c r="H9" s="45"/>
      <c r="I9" s="164"/>
      <c r="J9" s="193" t="s">
        <v>262</v>
      </c>
      <c r="K9" s="192" t="s">
        <v>157</v>
      </c>
      <c r="L9" s="172" t="s">
        <v>157</v>
      </c>
      <c r="M9" s="190">
        <v>3.3000000000000002E-2</v>
      </c>
      <c r="N9" s="189">
        <v>1.0585667499999998</v>
      </c>
      <c r="O9" s="188">
        <v>0.35</v>
      </c>
      <c r="P9" s="188">
        <v>0.35</v>
      </c>
      <c r="Q9" s="184">
        <v>0.31240000000000001</v>
      </c>
      <c r="R9" s="184">
        <v>0.1988</v>
      </c>
      <c r="S9" s="184"/>
      <c r="T9" s="184"/>
      <c r="U9" s="203">
        <v>5000</v>
      </c>
      <c r="V9" s="203">
        <v>5000</v>
      </c>
      <c r="W9" s="188">
        <v>0.35</v>
      </c>
      <c r="X9" s="188">
        <v>0.35</v>
      </c>
      <c r="Y9" s="188">
        <v>0.35</v>
      </c>
      <c r="Z9" s="184">
        <v>9.1999999999999998E-2</v>
      </c>
      <c r="AA9" s="187"/>
      <c r="AB9" s="167">
        <v>0.15</v>
      </c>
      <c r="AC9" s="45"/>
      <c r="AD9" s="45"/>
      <c r="AE9" s="45"/>
      <c r="AF9" s="195">
        <f t="shared" ref="AF9:AF24" si="3">IF(M9="","",M9)</f>
        <v>3.3000000000000002E-2</v>
      </c>
      <c r="AG9" s="243"/>
      <c r="AH9" s="243"/>
      <c r="AI9" s="243"/>
      <c r="AJ9" s="184"/>
      <c r="AK9" s="184"/>
      <c r="AL9" s="184"/>
      <c r="AM9" s="184"/>
      <c r="AN9" s="184"/>
      <c r="AO9" s="184"/>
      <c r="AP9" s="184"/>
      <c r="AQ9" s="184"/>
      <c r="AR9" s="184"/>
      <c r="AS9" s="184"/>
      <c r="AT9" s="151"/>
    </row>
    <row r="10" spans="1:53" ht="15" customHeight="1">
      <c r="B10" s="45">
        <f>B9/3</f>
        <v>250</v>
      </c>
      <c r="E10" s="91"/>
      <c r="F10" s="45"/>
      <c r="G10" s="45"/>
      <c r="H10" s="45"/>
      <c r="I10" s="164"/>
      <c r="J10" s="174" t="str">
        <f>J$9</f>
        <v>IS</v>
      </c>
      <c r="K10" s="173" t="s">
        <v>120</v>
      </c>
      <c r="L10" s="200" t="s">
        <v>120</v>
      </c>
      <c r="M10" s="190">
        <v>3.3000000000000002E-2</v>
      </c>
      <c r="N10" s="189">
        <v>1.0585667499999998</v>
      </c>
      <c r="O10" s="197">
        <v>0.35</v>
      </c>
      <c r="P10" s="197">
        <v>0.35</v>
      </c>
      <c r="Q10" s="184">
        <v>0.31240000000000001</v>
      </c>
      <c r="R10" s="184">
        <v>2.23E-2</v>
      </c>
      <c r="S10" s="204">
        <f ca="1">+AE48</f>
        <v>14538.4</v>
      </c>
      <c r="T10" s="204">
        <f ca="1">+AE49</f>
        <v>3848.88</v>
      </c>
      <c r="U10" s="245">
        <v>0</v>
      </c>
      <c r="V10" s="203">
        <v>5000</v>
      </c>
      <c r="W10" s="202">
        <f>75.04*12</f>
        <v>900.48</v>
      </c>
      <c r="X10" s="197">
        <v>1.9E-2</v>
      </c>
      <c r="Y10" s="201">
        <v>2141.1</v>
      </c>
      <c r="Z10" s="184">
        <v>9.1999999999999998E-2</v>
      </c>
      <c r="AA10" s="196"/>
      <c r="AB10" s="186">
        <f>'Pricing Summary'!C52</f>
        <v>0.08</v>
      </c>
      <c r="AC10" s="45"/>
      <c r="AD10" s="45"/>
      <c r="AE10" s="45"/>
      <c r="AF10" s="195">
        <f t="shared" si="3"/>
        <v>3.3000000000000002E-2</v>
      </c>
      <c r="AG10" s="244"/>
      <c r="AH10" s="244"/>
      <c r="AI10" s="244"/>
      <c r="AJ10" s="184"/>
      <c r="AK10" s="184"/>
      <c r="AL10" s="184"/>
      <c r="AM10" s="184"/>
      <c r="AN10" s="184"/>
      <c r="AO10" s="184"/>
      <c r="AP10" s="184"/>
      <c r="AQ10" s="184"/>
      <c r="AR10" s="184"/>
      <c r="AS10" s="184"/>
      <c r="AT10" s="151"/>
    </row>
    <row r="11" spans="1:53" hidden="1" outlineLevel="1">
      <c r="E11" s="91"/>
      <c r="F11" s="45"/>
      <c r="G11" s="45"/>
      <c r="H11" s="45"/>
      <c r="I11" s="164"/>
      <c r="J11" s="174" t="str">
        <f>J$9</f>
        <v>IS</v>
      </c>
      <c r="K11" s="173" t="str">
        <f>K$9</f>
        <v>Contr</v>
      </c>
      <c r="L11" s="200" t="s">
        <v>156</v>
      </c>
      <c r="M11" s="199">
        <v>0</v>
      </c>
      <c r="N11" s="198">
        <v>1</v>
      </c>
      <c r="O11" s="188">
        <v>0</v>
      </c>
      <c r="P11" s="197">
        <v>0</v>
      </c>
      <c r="Q11" s="184">
        <v>0.31240000000000001</v>
      </c>
      <c r="R11" s="184">
        <v>0.1988</v>
      </c>
      <c r="S11" s="184"/>
      <c r="T11" s="184"/>
      <c r="U11" s="197">
        <v>0</v>
      </c>
      <c r="V11" s="197">
        <v>0</v>
      </c>
      <c r="W11" s="197">
        <v>0</v>
      </c>
      <c r="X11" s="197">
        <v>0</v>
      </c>
      <c r="Y11" s="197">
        <v>0</v>
      </c>
      <c r="Z11" s="184">
        <v>9.1999999999999998E-2</v>
      </c>
      <c r="AA11" s="196"/>
      <c r="AB11" s="186">
        <f t="shared" ref="AB11:AB20" si="4">AB10</f>
        <v>0.08</v>
      </c>
      <c r="AC11" s="45"/>
      <c r="AD11" s="45"/>
      <c r="AE11" s="45"/>
      <c r="AF11" s="195">
        <f t="shared" si="3"/>
        <v>0</v>
      </c>
      <c r="AG11" s="244"/>
      <c r="AH11" s="244"/>
      <c r="AI11" s="244"/>
      <c r="AJ11" s="184"/>
      <c r="AK11" s="184"/>
      <c r="AL11" s="184"/>
      <c r="AM11" s="184"/>
      <c r="AN11" s="184"/>
      <c r="AO11" s="184"/>
      <c r="AP11" s="184"/>
      <c r="AQ11" s="184"/>
      <c r="AR11" s="184"/>
      <c r="AS11" s="184"/>
      <c r="AT11" s="151"/>
    </row>
    <row r="12" spans="1:53" hidden="1" outlineLevel="1">
      <c r="E12" s="91"/>
      <c r="F12" s="45"/>
      <c r="G12" s="45"/>
      <c r="H12" s="45"/>
      <c r="I12" s="164"/>
      <c r="J12" s="174" t="str">
        <f>J$9</f>
        <v>IS</v>
      </c>
      <c r="K12" s="173" t="str">
        <f>K$10</f>
        <v>Govt</v>
      </c>
      <c r="L12" s="200" t="s">
        <v>155</v>
      </c>
      <c r="M12" s="199">
        <v>0</v>
      </c>
      <c r="N12" s="198">
        <v>1</v>
      </c>
      <c r="O12" s="197">
        <v>0</v>
      </c>
      <c r="P12" s="197">
        <v>0</v>
      </c>
      <c r="Q12" s="184">
        <v>0.31240000000000001</v>
      </c>
      <c r="R12" s="184">
        <v>2.23E-2</v>
      </c>
      <c r="S12" s="184"/>
      <c r="T12" s="184"/>
      <c r="U12" s="197">
        <v>0</v>
      </c>
      <c r="V12" s="197">
        <v>0</v>
      </c>
      <c r="W12" s="197">
        <v>0</v>
      </c>
      <c r="X12" s="197">
        <v>0</v>
      </c>
      <c r="Y12" s="197">
        <v>0</v>
      </c>
      <c r="Z12" s="184">
        <v>9.1999999999999998E-2</v>
      </c>
      <c r="AA12" s="196"/>
      <c r="AB12" s="186">
        <f t="shared" si="4"/>
        <v>0.08</v>
      </c>
      <c r="AC12" s="45"/>
      <c r="AD12" s="45"/>
      <c r="AE12" s="45"/>
      <c r="AF12" s="195">
        <f t="shared" si="3"/>
        <v>0</v>
      </c>
      <c r="AG12" s="244"/>
      <c r="AH12" s="244"/>
      <c r="AI12" s="244"/>
      <c r="AJ12" s="184"/>
      <c r="AK12" s="184"/>
      <c r="AL12" s="184"/>
      <c r="AM12" s="184"/>
      <c r="AN12" s="184"/>
      <c r="AO12" s="184"/>
      <c r="AP12" s="184"/>
      <c r="AQ12" s="184"/>
      <c r="AR12" s="184"/>
      <c r="AS12" s="184"/>
      <c r="AT12" s="151"/>
    </row>
    <row r="13" spans="1:53" hidden="1" outlineLevel="1">
      <c r="E13" s="91"/>
      <c r="F13" s="45"/>
      <c r="G13" s="45"/>
      <c r="H13" s="45"/>
      <c r="I13" s="164"/>
      <c r="J13" s="174" t="s">
        <v>263</v>
      </c>
      <c r="K13" s="173" t="str">
        <f>K$9</f>
        <v>Contr</v>
      </c>
      <c r="L13" s="200" t="s">
        <v>154</v>
      </c>
      <c r="M13" s="190">
        <v>3.3000000000000002E-2</v>
      </c>
      <c r="N13" s="189">
        <v>1.0585667499999998</v>
      </c>
      <c r="O13" s="188">
        <v>0</v>
      </c>
      <c r="P13" s="188">
        <v>0</v>
      </c>
      <c r="Q13" s="184">
        <v>0.35099999999999998</v>
      </c>
      <c r="R13" s="184">
        <v>0.17249999999999999</v>
      </c>
      <c r="S13" s="184"/>
      <c r="T13" s="184"/>
      <c r="U13" s="188">
        <v>0</v>
      </c>
      <c r="V13" s="188">
        <v>0</v>
      </c>
      <c r="W13" s="188">
        <v>0</v>
      </c>
      <c r="X13" s="188">
        <v>0</v>
      </c>
      <c r="Y13" s="188">
        <v>0</v>
      </c>
      <c r="Z13" s="184">
        <v>9.0499999999999997E-2</v>
      </c>
      <c r="AA13" s="196"/>
      <c r="AB13" s="186">
        <f t="shared" si="4"/>
        <v>0.08</v>
      </c>
      <c r="AC13" s="45"/>
      <c r="AD13" s="45"/>
      <c r="AE13" s="45"/>
      <c r="AF13" s="195">
        <f t="shared" si="3"/>
        <v>3.3000000000000002E-2</v>
      </c>
      <c r="AG13" s="244"/>
      <c r="AH13" s="244"/>
      <c r="AI13" s="244"/>
      <c r="AJ13" s="184"/>
      <c r="AK13" s="184"/>
      <c r="AL13" s="184"/>
      <c r="AM13" s="184"/>
      <c r="AN13" s="184"/>
      <c r="AO13" s="184"/>
      <c r="AP13" s="184"/>
      <c r="AQ13" s="184"/>
      <c r="AR13" s="184"/>
      <c r="AS13" s="184"/>
      <c r="AT13" s="151"/>
    </row>
    <row r="14" spans="1:53" hidden="1" outlineLevel="1">
      <c r="E14" s="91"/>
      <c r="F14" s="45"/>
      <c r="G14" s="45"/>
      <c r="H14" s="45"/>
      <c r="I14" s="164"/>
      <c r="J14" s="174" t="str">
        <f>J13</f>
        <v>ESD</v>
      </c>
      <c r="K14" s="173" t="str">
        <f>K$10</f>
        <v>Govt</v>
      </c>
      <c r="L14" s="200" t="s">
        <v>153</v>
      </c>
      <c r="M14" s="190">
        <v>3.3000000000000002E-2</v>
      </c>
      <c r="N14" s="189">
        <v>1.0585667499999998</v>
      </c>
      <c r="O14" s="197">
        <v>0</v>
      </c>
      <c r="P14" s="197">
        <v>0</v>
      </c>
      <c r="Q14" s="184">
        <v>0.35099999999999998</v>
      </c>
      <c r="R14" s="184">
        <v>3.1E-2</v>
      </c>
      <c r="S14" s="184"/>
      <c r="T14" s="184"/>
      <c r="U14" s="197">
        <v>0</v>
      </c>
      <c r="V14" s="197">
        <v>0</v>
      </c>
      <c r="W14" s="197">
        <v>0</v>
      </c>
      <c r="X14" s="197">
        <v>0</v>
      </c>
      <c r="Y14" s="197">
        <v>0</v>
      </c>
      <c r="Z14" s="184">
        <v>9.0499999999999997E-2</v>
      </c>
      <c r="AA14" s="196"/>
      <c r="AB14" s="186">
        <f t="shared" si="4"/>
        <v>0.08</v>
      </c>
      <c r="AC14" s="45"/>
      <c r="AD14" s="45"/>
      <c r="AE14" s="45"/>
      <c r="AF14" s="195">
        <f t="shared" si="3"/>
        <v>3.3000000000000002E-2</v>
      </c>
      <c r="AG14" s="244"/>
      <c r="AH14" s="244"/>
      <c r="AI14" s="244"/>
      <c r="AJ14" s="184"/>
      <c r="AK14" s="184"/>
      <c r="AL14" s="184"/>
      <c r="AM14" s="184"/>
      <c r="AN14" s="184"/>
      <c r="AO14" s="184"/>
      <c r="AP14" s="184"/>
      <c r="AQ14" s="184"/>
      <c r="AR14" s="184"/>
      <c r="AS14" s="184"/>
      <c r="AT14" s="151"/>
    </row>
    <row r="15" spans="1:53" hidden="1" outlineLevel="1">
      <c r="E15" s="91"/>
      <c r="F15" s="45"/>
      <c r="G15" s="45"/>
      <c r="H15" s="45"/>
      <c r="I15" s="164"/>
      <c r="J15" s="174" t="s">
        <v>263</v>
      </c>
      <c r="K15" s="173" t="str">
        <f>K$9</f>
        <v>Contr</v>
      </c>
      <c r="L15" s="200" t="s">
        <v>152</v>
      </c>
      <c r="M15" s="190">
        <v>3.3000000000000002E-2</v>
      </c>
      <c r="N15" s="189">
        <v>1.0585667499999998</v>
      </c>
      <c r="O15" s="188">
        <v>0</v>
      </c>
      <c r="P15" s="188">
        <v>0</v>
      </c>
      <c r="Q15" s="184">
        <v>0.35099999999999998</v>
      </c>
      <c r="R15" s="184">
        <v>0.17249999999999999</v>
      </c>
      <c r="S15" s="184"/>
      <c r="T15" s="184"/>
      <c r="U15" s="188">
        <v>0</v>
      </c>
      <c r="V15" s="188">
        <v>0</v>
      </c>
      <c r="W15" s="188">
        <v>0</v>
      </c>
      <c r="X15" s="188">
        <v>0</v>
      </c>
      <c r="Y15" s="188">
        <v>0</v>
      </c>
      <c r="Z15" s="184">
        <v>9.0499999999999997E-2</v>
      </c>
      <c r="AA15" s="196"/>
      <c r="AB15" s="186">
        <f t="shared" si="4"/>
        <v>0.08</v>
      </c>
      <c r="AC15" s="45"/>
      <c r="AD15" s="45"/>
      <c r="AE15" s="45"/>
      <c r="AF15" s="195">
        <f t="shared" si="3"/>
        <v>3.3000000000000002E-2</v>
      </c>
      <c r="AG15" s="244"/>
      <c r="AH15" s="244"/>
      <c r="AI15" s="244"/>
      <c r="AJ15" s="184"/>
      <c r="AK15" s="184"/>
      <c r="AL15" s="184"/>
      <c r="AM15" s="184"/>
      <c r="AN15" s="184"/>
      <c r="AO15" s="184"/>
      <c r="AP15" s="184"/>
      <c r="AQ15" s="184"/>
      <c r="AR15" s="184"/>
      <c r="AS15" s="184"/>
      <c r="AT15" s="151"/>
    </row>
    <row r="16" spans="1:53" hidden="1" outlineLevel="1">
      <c r="E16" s="91"/>
      <c r="F16" s="45"/>
      <c r="G16" s="45"/>
      <c r="H16" s="45"/>
      <c r="I16" s="164"/>
      <c r="J16" s="174" t="str">
        <f>J15</f>
        <v>ESD</v>
      </c>
      <c r="K16" s="173" t="str">
        <f>K$10</f>
        <v>Govt</v>
      </c>
      <c r="L16" s="200" t="s">
        <v>151</v>
      </c>
      <c r="M16" s="190">
        <v>3.3000000000000002E-2</v>
      </c>
      <c r="N16" s="189">
        <v>1.0585667499999998</v>
      </c>
      <c r="O16" s="197">
        <v>0</v>
      </c>
      <c r="P16" s="197">
        <v>0</v>
      </c>
      <c r="Q16" s="184">
        <v>0.35099999999999998</v>
      </c>
      <c r="R16" s="184">
        <v>3.1E-2</v>
      </c>
      <c r="S16" s="184"/>
      <c r="T16" s="184"/>
      <c r="U16" s="197">
        <v>0</v>
      </c>
      <c r="V16" s="197">
        <v>0</v>
      </c>
      <c r="W16" s="197">
        <v>0</v>
      </c>
      <c r="X16" s="197">
        <v>0</v>
      </c>
      <c r="Y16" s="197">
        <v>0</v>
      </c>
      <c r="Z16" s="184">
        <v>9.0499999999999997E-2</v>
      </c>
      <c r="AA16" s="196"/>
      <c r="AB16" s="186">
        <f t="shared" si="4"/>
        <v>0.08</v>
      </c>
      <c r="AC16" s="45"/>
      <c r="AD16" s="45"/>
      <c r="AE16" s="45"/>
      <c r="AF16" s="195">
        <f t="shared" si="3"/>
        <v>3.3000000000000002E-2</v>
      </c>
      <c r="AG16" s="244"/>
      <c r="AH16" s="244"/>
      <c r="AI16" s="244"/>
      <c r="AJ16" s="184"/>
      <c r="AK16" s="184"/>
      <c r="AL16" s="184"/>
      <c r="AM16" s="184"/>
      <c r="AN16" s="184"/>
      <c r="AO16" s="184"/>
      <c r="AP16" s="184"/>
      <c r="AQ16" s="184"/>
      <c r="AR16" s="184"/>
      <c r="AS16" s="184"/>
      <c r="AT16" s="151"/>
    </row>
    <row r="17" spans="4:53" hidden="1" outlineLevel="1">
      <c r="E17" s="91"/>
      <c r="F17" s="45"/>
      <c r="G17" s="45"/>
      <c r="H17" s="45"/>
      <c r="I17" s="164"/>
      <c r="J17" s="174" t="str">
        <f>J$9</f>
        <v>IS</v>
      </c>
      <c r="K17" s="173" t="str">
        <f>K$9</f>
        <v>Contr</v>
      </c>
      <c r="L17" s="200" t="s">
        <v>150</v>
      </c>
      <c r="M17" s="190">
        <v>3.3000000000000002E-2</v>
      </c>
      <c r="N17" s="189">
        <v>1.0585667499999998</v>
      </c>
      <c r="O17" s="197">
        <v>0.5</v>
      </c>
      <c r="P17" s="197">
        <v>0</v>
      </c>
      <c r="Q17" s="184">
        <v>0.31240000000000001</v>
      </c>
      <c r="R17" s="184">
        <v>0.1988</v>
      </c>
      <c r="S17" s="184"/>
      <c r="T17" s="184"/>
      <c r="U17" s="197">
        <v>0</v>
      </c>
      <c r="V17" s="197">
        <v>0</v>
      </c>
      <c r="W17" s="197">
        <v>0</v>
      </c>
      <c r="X17" s="197">
        <v>0</v>
      </c>
      <c r="Y17" s="197">
        <v>0</v>
      </c>
      <c r="Z17" s="184">
        <v>9.1999999999999998E-2</v>
      </c>
      <c r="AA17" s="196"/>
      <c r="AB17" s="186">
        <f t="shared" si="4"/>
        <v>0.08</v>
      </c>
      <c r="AC17" s="45"/>
      <c r="AD17" s="45"/>
      <c r="AE17" s="45"/>
      <c r="AF17" s="195">
        <f t="shared" si="3"/>
        <v>3.3000000000000002E-2</v>
      </c>
      <c r="AG17" s="244"/>
      <c r="AH17" s="244"/>
      <c r="AI17" s="244"/>
      <c r="AJ17" s="184"/>
      <c r="AK17" s="184"/>
      <c r="AL17" s="184"/>
      <c r="AM17" s="184"/>
      <c r="AN17" s="184"/>
      <c r="AO17" s="184"/>
      <c r="AP17" s="184"/>
      <c r="AQ17" s="184"/>
      <c r="AR17" s="184"/>
      <c r="AS17" s="184"/>
      <c r="AT17" s="151"/>
    </row>
    <row r="18" spans="4:53" hidden="1" outlineLevel="1">
      <c r="E18" s="91"/>
      <c r="F18" s="45"/>
      <c r="G18" s="45"/>
      <c r="H18" s="45"/>
      <c r="I18" s="164"/>
      <c r="J18" s="174" t="str">
        <f t="shared" ref="J18:J24" si="5">J$9</f>
        <v>IS</v>
      </c>
      <c r="K18" s="173" t="str">
        <f>K$10</f>
        <v>Govt</v>
      </c>
      <c r="L18" s="200" t="s">
        <v>149</v>
      </c>
      <c r="M18" s="190">
        <v>3.3000000000000002E-2</v>
      </c>
      <c r="N18" s="189">
        <v>1.0585667499999998</v>
      </c>
      <c r="O18" s="197">
        <v>0.5</v>
      </c>
      <c r="P18" s="197">
        <v>0</v>
      </c>
      <c r="Q18" s="184">
        <v>0.31240000000000001</v>
      </c>
      <c r="R18" s="184">
        <v>2.23E-2</v>
      </c>
      <c r="S18" s="184"/>
      <c r="T18" s="184"/>
      <c r="U18" s="197">
        <v>0</v>
      </c>
      <c r="V18" s="197">
        <v>0</v>
      </c>
      <c r="W18" s="197">
        <v>0</v>
      </c>
      <c r="X18" s="197">
        <v>0</v>
      </c>
      <c r="Y18" s="197">
        <v>0</v>
      </c>
      <c r="Z18" s="184">
        <v>9.1999999999999998E-2</v>
      </c>
      <c r="AA18" s="196"/>
      <c r="AB18" s="186">
        <f t="shared" si="4"/>
        <v>0.08</v>
      </c>
      <c r="AC18" s="45"/>
      <c r="AD18" s="45"/>
      <c r="AE18" s="45"/>
      <c r="AF18" s="195">
        <f t="shared" si="3"/>
        <v>3.3000000000000002E-2</v>
      </c>
      <c r="AG18" s="244"/>
      <c r="AH18" s="244"/>
      <c r="AI18" s="244"/>
      <c r="AJ18" s="184"/>
      <c r="AK18" s="184"/>
      <c r="AL18" s="184"/>
      <c r="AM18" s="184"/>
      <c r="AN18" s="184"/>
      <c r="AO18" s="184"/>
      <c r="AP18" s="184"/>
      <c r="AQ18" s="184"/>
      <c r="AR18" s="184"/>
      <c r="AS18" s="184"/>
      <c r="AT18" s="151"/>
    </row>
    <row r="19" spans="4:53" hidden="1" outlineLevel="1">
      <c r="E19" s="91"/>
      <c r="F19" s="45"/>
      <c r="G19" s="45"/>
      <c r="H19" s="45"/>
      <c r="I19" s="164"/>
      <c r="J19" s="174" t="str">
        <f t="shared" si="5"/>
        <v>IS</v>
      </c>
      <c r="K19" s="173" t="str">
        <f>K$9</f>
        <v>Contr</v>
      </c>
      <c r="L19" s="200" t="s">
        <v>148</v>
      </c>
      <c r="M19" s="199">
        <v>0</v>
      </c>
      <c r="N19" s="198">
        <v>1</v>
      </c>
      <c r="O19" s="188">
        <v>0.5</v>
      </c>
      <c r="P19" s="188">
        <v>0</v>
      </c>
      <c r="Q19" s="184">
        <v>0.31240000000000001</v>
      </c>
      <c r="R19" s="184">
        <v>0.1988</v>
      </c>
      <c r="S19" s="184"/>
      <c r="T19" s="184"/>
      <c r="U19" s="188">
        <v>0</v>
      </c>
      <c r="V19" s="188">
        <v>0</v>
      </c>
      <c r="W19" s="188">
        <v>0</v>
      </c>
      <c r="X19" s="188">
        <v>0</v>
      </c>
      <c r="Y19" s="188">
        <v>0</v>
      </c>
      <c r="Z19" s="184">
        <v>9.1999999999999998E-2</v>
      </c>
      <c r="AA19" s="196"/>
      <c r="AB19" s="186">
        <f t="shared" si="4"/>
        <v>0.08</v>
      </c>
      <c r="AC19" s="45"/>
      <c r="AD19" s="45"/>
      <c r="AE19" s="45"/>
      <c r="AF19" s="195">
        <f t="shared" si="3"/>
        <v>0</v>
      </c>
      <c r="AG19" s="244"/>
      <c r="AH19" s="244"/>
      <c r="AI19" s="244"/>
      <c r="AJ19" s="184"/>
      <c r="AK19" s="184"/>
      <c r="AL19" s="184"/>
      <c r="AM19" s="184"/>
      <c r="AN19" s="184"/>
      <c r="AO19" s="184"/>
      <c r="AP19" s="184"/>
      <c r="AQ19" s="184"/>
      <c r="AR19" s="184"/>
      <c r="AS19" s="184"/>
      <c r="AT19" s="151"/>
    </row>
    <row r="20" spans="4:53" hidden="1" outlineLevel="1">
      <c r="E20" s="91"/>
      <c r="F20" s="45"/>
      <c r="G20" s="45"/>
      <c r="H20" s="45"/>
      <c r="I20" s="164"/>
      <c r="J20" s="174" t="str">
        <f t="shared" si="5"/>
        <v>IS</v>
      </c>
      <c r="K20" s="173" t="str">
        <f>K$10</f>
        <v>Govt</v>
      </c>
      <c r="L20" s="200" t="s">
        <v>147</v>
      </c>
      <c r="M20" s="199">
        <v>0</v>
      </c>
      <c r="N20" s="198">
        <v>1</v>
      </c>
      <c r="O20" s="197">
        <v>0.5</v>
      </c>
      <c r="P20" s="197">
        <v>0</v>
      </c>
      <c r="Q20" s="184">
        <v>0.31240000000000001</v>
      </c>
      <c r="R20" s="184">
        <v>2.23E-2</v>
      </c>
      <c r="S20" s="184"/>
      <c r="T20" s="184"/>
      <c r="U20" s="197">
        <v>0</v>
      </c>
      <c r="V20" s="197">
        <v>0</v>
      </c>
      <c r="W20" s="197">
        <v>0</v>
      </c>
      <c r="X20" s="197">
        <v>0</v>
      </c>
      <c r="Y20" s="197">
        <v>0</v>
      </c>
      <c r="Z20" s="184">
        <v>9.1999999999999998E-2</v>
      </c>
      <c r="AA20" s="196"/>
      <c r="AB20" s="186">
        <f t="shared" si="4"/>
        <v>0.08</v>
      </c>
      <c r="AC20" s="45"/>
      <c r="AD20" s="45"/>
      <c r="AE20" s="45"/>
      <c r="AF20" s="195">
        <f t="shared" si="3"/>
        <v>0</v>
      </c>
      <c r="AG20" s="244"/>
      <c r="AH20" s="244"/>
      <c r="AI20" s="244"/>
      <c r="AJ20" s="184"/>
      <c r="AK20" s="184"/>
      <c r="AL20" s="184"/>
      <c r="AM20" s="184"/>
      <c r="AN20" s="184"/>
      <c r="AO20" s="184"/>
      <c r="AP20" s="184"/>
      <c r="AQ20" s="184"/>
      <c r="AR20" s="184"/>
      <c r="AS20" s="184"/>
      <c r="AT20" s="151"/>
    </row>
    <row r="21" spans="4:53" collapsed="1">
      <c r="E21" s="91"/>
      <c r="F21" s="45"/>
      <c r="G21" s="45"/>
      <c r="H21" s="45"/>
      <c r="I21" s="164"/>
      <c r="J21" s="193" t="str">
        <f t="shared" si="5"/>
        <v>IS</v>
      </c>
      <c r="K21" s="192" t="s">
        <v>261</v>
      </c>
      <c r="L21" s="191" t="s">
        <v>119</v>
      </c>
      <c r="M21" s="190">
        <v>0</v>
      </c>
      <c r="N21" s="189">
        <v>1</v>
      </c>
      <c r="O21" s="188">
        <v>0</v>
      </c>
      <c r="P21" s="188">
        <v>0</v>
      </c>
      <c r="Q21" s="184"/>
      <c r="R21" s="184">
        <v>2.9700000000000001E-2</v>
      </c>
      <c r="S21" s="184"/>
      <c r="T21" s="184"/>
      <c r="U21" s="188">
        <v>0</v>
      </c>
      <c r="V21" s="188">
        <v>0</v>
      </c>
      <c r="W21" s="188">
        <v>0</v>
      </c>
      <c r="X21" s="188">
        <v>0</v>
      </c>
      <c r="Y21" s="188">
        <v>0</v>
      </c>
      <c r="Z21" s="184">
        <v>9.1999999999999998E-2</v>
      </c>
      <c r="AA21" s="187"/>
      <c r="AB21" s="186">
        <f>'Pricing Summary'!C53</f>
        <v>0.08</v>
      </c>
      <c r="AC21" s="45"/>
      <c r="AD21" s="45"/>
      <c r="AE21" s="45"/>
      <c r="AF21" s="155">
        <f t="shared" si="3"/>
        <v>0</v>
      </c>
      <c r="AG21" s="243"/>
      <c r="AH21" s="243"/>
      <c r="AI21" s="243"/>
      <c r="AJ21" s="184"/>
      <c r="AK21" s="184"/>
      <c r="AL21" s="184"/>
      <c r="AM21" s="184"/>
      <c r="AN21" s="184"/>
      <c r="AO21" s="184"/>
      <c r="AP21" s="184"/>
      <c r="AQ21" s="184"/>
      <c r="AR21" s="184"/>
      <c r="AS21" s="184"/>
      <c r="AT21" s="151"/>
    </row>
    <row r="22" spans="4:53" hidden="1">
      <c r="E22" s="91"/>
      <c r="F22" s="45"/>
      <c r="G22" s="45"/>
      <c r="H22" s="45"/>
      <c r="I22" s="164"/>
      <c r="J22" s="174" t="str">
        <f t="shared" si="5"/>
        <v>IS</v>
      </c>
      <c r="K22" s="173" t="str">
        <f>K21</f>
        <v>Contr/Govt</v>
      </c>
      <c r="L22" s="183" t="s">
        <v>146</v>
      </c>
      <c r="M22" s="182">
        <v>0</v>
      </c>
      <c r="N22" s="181">
        <f>N21</f>
        <v>1</v>
      </c>
      <c r="O22" s="180">
        <v>0</v>
      </c>
      <c r="P22" s="180">
        <v>0</v>
      </c>
      <c r="Q22" s="176"/>
      <c r="R22" s="175">
        <v>2.9700000000000001E-2</v>
      </c>
      <c r="S22" s="175"/>
      <c r="T22" s="175"/>
      <c r="U22" s="180">
        <v>0</v>
      </c>
      <c r="V22" s="180">
        <v>0</v>
      </c>
      <c r="W22" s="180">
        <v>0</v>
      </c>
      <c r="X22" s="180">
        <v>0</v>
      </c>
      <c r="Y22" s="180">
        <v>0</v>
      </c>
      <c r="Z22" s="175">
        <v>9.1999999999999998E-2</v>
      </c>
      <c r="AA22" s="179"/>
      <c r="AB22" s="178">
        <f>AB21</f>
        <v>0.08</v>
      </c>
      <c r="AC22" s="45"/>
      <c r="AD22" s="45"/>
      <c r="AE22" s="45"/>
      <c r="AF22" s="155">
        <f t="shared" si="3"/>
        <v>0</v>
      </c>
      <c r="AG22" s="242"/>
      <c r="AH22" s="242"/>
      <c r="AI22" s="242"/>
      <c r="AJ22" s="176"/>
      <c r="AK22" s="175"/>
      <c r="AL22" s="175"/>
      <c r="AM22" s="175"/>
      <c r="AN22" s="175"/>
      <c r="AO22" s="175"/>
      <c r="AP22" s="175"/>
      <c r="AQ22" s="175"/>
      <c r="AR22" s="175"/>
      <c r="AS22" s="175"/>
      <c r="AT22" s="151"/>
    </row>
    <row r="23" spans="4:53" hidden="1">
      <c r="E23" s="91"/>
      <c r="F23" s="45"/>
      <c r="G23" s="45"/>
      <c r="H23" s="45"/>
      <c r="I23" s="164"/>
      <c r="J23" s="174" t="str">
        <f t="shared" si="5"/>
        <v>IS</v>
      </c>
      <c r="K23" s="173" t="str">
        <f>K22</f>
        <v>Contr/Govt</v>
      </c>
      <c r="L23" s="172" t="s">
        <v>145</v>
      </c>
      <c r="M23" s="171">
        <v>0</v>
      </c>
      <c r="N23" s="170">
        <v>1</v>
      </c>
      <c r="O23" s="169">
        <v>0</v>
      </c>
      <c r="P23" s="169">
        <v>0</v>
      </c>
      <c r="Q23" s="165"/>
      <c r="R23" s="165">
        <v>2.9700000000000001E-2</v>
      </c>
      <c r="S23" s="165"/>
      <c r="T23" s="165"/>
      <c r="U23" s="169">
        <v>0</v>
      </c>
      <c r="V23" s="169">
        <v>0</v>
      </c>
      <c r="W23" s="169">
        <v>0</v>
      </c>
      <c r="X23" s="169">
        <v>0</v>
      </c>
      <c r="Y23" s="169">
        <v>0</v>
      </c>
      <c r="Z23" s="165">
        <v>9.1999999999999998E-2</v>
      </c>
      <c r="AA23" s="168"/>
      <c r="AB23" s="167">
        <v>0</v>
      </c>
      <c r="AC23" s="45"/>
      <c r="AD23" s="45"/>
      <c r="AE23" s="45"/>
      <c r="AF23" s="155">
        <f t="shared" si="3"/>
        <v>0</v>
      </c>
      <c r="AG23" s="241"/>
      <c r="AH23" s="241"/>
      <c r="AI23" s="241"/>
      <c r="AJ23" s="165"/>
      <c r="AK23" s="165"/>
      <c r="AL23" s="165"/>
      <c r="AM23" s="165"/>
      <c r="AN23" s="165"/>
      <c r="AO23" s="165"/>
      <c r="AP23" s="165"/>
      <c r="AQ23" s="165"/>
      <c r="AR23" s="165"/>
      <c r="AS23" s="165"/>
      <c r="AT23" s="151"/>
    </row>
    <row r="24" spans="4:53">
      <c r="E24" s="91"/>
      <c r="F24" s="45"/>
      <c r="G24" s="45"/>
      <c r="H24" s="45"/>
      <c r="I24" s="164"/>
      <c r="J24" s="163" t="str">
        <f t="shared" si="5"/>
        <v>IS</v>
      </c>
      <c r="K24" s="162" t="str">
        <f>K23</f>
        <v>Contr/Govt</v>
      </c>
      <c r="L24" s="161" t="s">
        <v>110</v>
      </c>
      <c r="M24" s="160">
        <v>0</v>
      </c>
      <c r="N24" s="159">
        <v>1</v>
      </c>
      <c r="O24" s="158">
        <v>0</v>
      </c>
      <c r="P24" s="158">
        <v>0</v>
      </c>
      <c r="Q24" s="153"/>
      <c r="R24" s="152">
        <f>IF(OR($J$24="MBI - FT",$J$24="MBI - PT"),R23,0)</f>
        <v>0</v>
      </c>
      <c r="S24" s="152"/>
      <c r="T24" s="152"/>
      <c r="U24" s="158">
        <v>0</v>
      </c>
      <c r="V24" s="158">
        <v>0</v>
      </c>
      <c r="W24" s="158">
        <v>0</v>
      </c>
      <c r="X24" s="158">
        <v>0</v>
      </c>
      <c r="Y24" s="158">
        <v>0</v>
      </c>
      <c r="Z24" s="152">
        <v>9.1999999999999998E-2</v>
      </c>
      <c r="AA24" s="157"/>
      <c r="AB24" s="156">
        <f>'Pricing Summary'!C54</f>
        <v>0.08</v>
      </c>
      <c r="AC24" s="45"/>
      <c r="AD24" s="45"/>
      <c r="AE24" s="45"/>
      <c r="AF24" s="155">
        <f t="shared" si="3"/>
        <v>0</v>
      </c>
      <c r="AG24" s="240"/>
      <c r="AH24" s="240"/>
      <c r="AI24" s="240"/>
      <c r="AJ24" s="153"/>
      <c r="AK24" s="152"/>
      <c r="AL24" s="152"/>
      <c r="AM24" s="152"/>
      <c r="AN24" s="152"/>
      <c r="AO24" s="152"/>
      <c r="AP24" s="152"/>
      <c r="AQ24" s="152"/>
      <c r="AR24" s="152"/>
      <c r="AS24" s="152"/>
      <c r="AT24" s="151"/>
    </row>
    <row r="25" spans="4:53">
      <c r="E25" s="91"/>
      <c r="F25" s="45"/>
      <c r="G25" s="45"/>
      <c r="H25" s="45"/>
      <c r="I25" s="45"/>
      <c r="J25" s="85"/>
      <c r="K25" s="85"/>
      <c r="L25" s="85"/>
      <c r="M25" s="85"/>
      <c r="N25" s="85"/>
      <c r="O25" s="85"/>
      <c r="P25" s="85"/>
      <c r="Q25" s="85"/>
      <c r="R25" s="85"/>
      <c r="S25" s="85"/>
      <c r="T25" s="85"/>
      <c r="U25" s="85"/>
      <c r="V25" s="85"/>
      <c r="W25" s="85"/>
      <c r="X25" s="85"/>
      <c r="Y25" s="85"/>
      <c r="Z25" s="85"/>
      <c r="AA25" s="85"/>
      <c r="AB25" s="85"/>
      <c r="AC25" s="45"/>
      <c r="AD25" s="45"/>
      <c r="AE25" s="45"/>
      <c r="AF25" s="90" t="s">
        <v>144</v>
      </c>
      <c r="AG25" s="45"/>
      <c r="AH25" s="45"/>
      <c r="AI25" s="45"/>
      <c r="AJ25" s="45"/>
      <c r="AK25" s="45"/>
      <c r="AL25" s="45"/>
      <c r="AM25" s="45"/>
      <c r="AN25" s="45"/>
      <c r="AO25" s="45"/>
      <c r="AP25" s="45"/>
      <c r="AQ25" s="45"/>
      <c r="AR25" s="45"/>
      <c r="AS25" s="45"/>
      <c r="AT25" s="45"/>
      <c r="AZ25" s="145"/>
      <c r="BA25" s="145"/>
    </row>
    <row r="26" spans="4:53" hidden="1" outlineLevel="1">
      <c r="E26" s="91"/>
      <c r="F26" s="45"/>
      <c r="G26" s="45"/>
      <c r="H26" s="45"/>
      <c r="I26" s="45"/>
      <c r="J26" s="45"/>
      <c r="K26" s="45"/>
      <c r="L26" s="45"/>
      <c r="M26" s="150"/>
      <c r="N26" s="149" t="str">
        <f>M$28&amp;"*"&amp;N$5</f>
        <v>A*B%</v>
      </c>
      <c r="O26" s="149"/>
      <c r="P26" s="149"/>
      <c r="Q26" s="149" t="str">
        <f>N$28&amp;"*"&amp;Q$5</f>
        <v>B*C%</v>
      </c>
      <c r="R26" s="149" t="str">
        <f>"("&amp;N28&amp;"+"&amp;Q$28&amp;")"&amp;"*"&amp;R$5</f>
        <v>(B+C)*D%</v>
      </c>
      <c r="S26" s="149"/>
      <c r="T26" s="149"/>
      <c r="U26" s="149"/>
      <c r="V26" s="149"/>
      <c r="W26" s="149"/>
      <c r="X26" s="149"/>
      <c r="Y26" s="149"/>
      <c r="Z26" s="149" t="str">
        <f>"("&amp;N28&amp;"+"&amp;Q28&amp;"+"&amp;R$28&amp;")"&amp;"*"&amp;Z$5</f>
        <v>(B+C+D)*E%</v>
      </c>
      <c r="AA26" s="149" t="s">
        <v>143</v>
      </c>
      <c r="AB26" s="149" t="str">
        <f>"("&amp;N28&amp;"+"&amp;Q28&amp;"+"&amp;R$28&amp;"+"&amp;Z$28&amp;")"&amp;"*"&amp;AB$5</f>
        <v>(B+C+D+E)*G%</v>
      </c>
      <c r="AC26" s="45"/>
      <c r="AD26" s="45"/>
      <c r="AE26" s="45"/>
      <c r="AF26" s="90"/>
    </row>
    <row r="27" spans="4:53" ht="8.25" hidden="1" customHeight="1" outlineLevel="1">
      <c r="E27" s="91"/>
      <c r="F27" s="45"/>
      <c r="G27" s="45"/>
      <c r="H27" s="45"/>
      <c r="I27" s="45"/>
      <c r="J27" s="45"/>
      <c r="K27" s="45"/>
      <c r="L27" s="45"/>
      <c r="M27" s="148"/>
      <c r="N27" s="147"/>
      <c r="O27" s="147"/>
      <c r="P27" s="147"/>
      <c r="Q27" s="147"/>
      <c r="R27" s="147"/>
      <c r="S27" s="147"/>
      <c r="T27" s="147"/>
      <c r="U27" s="147"/>
      <c r="V27" s="147"/>
      <c r="W27" s="147"/>
      <c r="X27" s="147"/>
      <c r="Y27" s="147"/>
      <c r="Z27" s="147"/>
      <c r="AA27" s="147"/>
      <c r="AB27" s="147"/>
      <c r="AC27" s="45"/>
      <c r="AD27" s="45"/>
      <c r="AE27" s="45"/>
      <c r="AF27" s="90"/>
    </row>
    <row r="28" spans="4:53" hidden="1" outlineLevel="1">
      <c r="E28" s="91"/>
      <c r="F28" s="45"/>
      <c r="G28" s="45"/>
      <c r="H28" s="45"/>
      <c r="I28" s="45"/>
      <c r="J28" s="45"/>
      <c r="K28" s="45"/>
      <c r="L28" s="45"/>
      <c r="M28" s="146" t="s">
        <v>142</v>
      </c>
      <c r="N28" s="146" t="s">
        <v>141</v>
      </c>
      <c r="O28" s="146"/>
      <c r="P28" s="146"/>
      <c r="Q28" s="146" t="s">
        <v>140</v>
      </c>
      <c r="R28" s="146" t="s">
        <v>139</v>
      </c>
      <c r="S28" s="146"/>
      <c r="T28" s="146"/>
      <c r="U28" s="146"/>
      <c r="V28" s="146"/>
      <c r="W28" s="146"/>
      <c r="X28" s="146"/>
      <c r="Y28" s="146"/>
      <c r="Z28" s="146" t="s">
        <v>138</v>
      </c>
      <c r="AA28" s="146" t="s">
        <v>137</v>
      </c>
      <c r="AB28" s="146" t="s">
        <v>136</v>
      </c>
      <c r="AC28" s="45"/>
      <c r="AD28" s="45"/>
      <c r="AE28" s="45"/>
      <c r="AF28" s="90"/>
    </row>
    <row r="29" spans="4:53" collapsed="1">
      <c r="E29" s="91"/>
      <c r="F29" s="45"/>
      <c r="G29" s="45"/>
      <c r="H29" s="45"/>
      <c r="I29" s="45"/>
      <c r="J29" s="45"/>
      <c r="K29" s="45"/>
      <c r="L29" s="45"/>
      <c r="M29" s="45"/>
      <c r="N29" s="45"/>
      <c r="O29" s="45"/>
      <c r="P29" s="45"/>
      <c r="Q29" s="45"/>
      <c r="R29" s="45"/>
      <c r="S29" s="45"/>
      <c r="T29" s="45"/>
      <c r="U29" s="45"/>
      <c r="V29" s="45"/>
      <c r="W29" s="45"/>
      <c r="X29" s="45"/>
      <c r="Y29" s="45"/>
      <c r="Z29" s="45"/>
      <c r="AA29" s="97"/>
      <c r="AB29" s="45"/>
      <c r="AC29" s="45"/>
      <c r="AD29" s="45"/>
      <c r="AE29" s="45"/>
      <c r="AF29" s="90">
        <v>12</v>
      </c>
      <c r="AT29" s="140"/>
      <c r="AU29" s="139"/>
      <c r="AV29" s="140"/>
      <c r="AW29" s="139"/>
      <c r="AZ29" s="145" t="s">
        <v>135</v>
      </c>
      <c r="BA29" s="145" t="s">
        <v>134</v>
      </c>
    </row>
    <row r="30" spans="4:53" ht="13.5" thickBot="1">
      <c r="E30" s="144" t="s">
        <v>133</v>
      </c>
      <c r="F30" s="142"/>
      <c r="G30" s="142" t="s">
        <v>106</v>
      </c>
      <c r="H30" s="45"/>
      <c r="I30" s="142" t="s">
        <v>132</v>
      </c>
      <c r="J30" s="143" t="s">
        <v>131</v>
      </c>
      <c r="K30" s="143" t="s">
        <v>131</v>
      </c>
      <c r="L30" s="142" t="str">
        <f>L8</f>
        <v>Burden Code</v>
      </c>
      <c r="M30" s="139" t="s">
        <v>130</v>
      </c>
      <c r="N30" s="139" t="s">
        <v>129</v>
      </c>
      <c r="O30" s="139" t="str">
        <f>O8</f>
        <v>Hazard</v>
      </c>
      <c r="P30" s="139" t="str">
        <f>P8</f>
        <v>Harship</v>
      </c>
      <c r="Q30" s="139" t="str">
        <f>Q8</f>
        <v>PRB</v>
      </c>
      <c r="R30" s="139" t="str">
        <f>R8</f>
        <v>Overhead</v>
      </c>
      <c r="S30" s="139"/>
      <c r="T30" s="139"/>
      <c r="U30" s="139" t="str">
        <f t="shared" ref="U30:AB30" si="6">U8</f>
        <v>Finders Fee</v>
      </c>
      <c r="V30" s="139" t="str">
        <f t="shared" si="6"/>
        <v>Comp. Bonus</v>
      </c>
      <c r="W30" s="139" t="str">
        <f t="shared" si="6"/>
        <v>War Risk Ins.</v>
      </c>
      <c r="X30" s="139" t="str">
        <f t="shared" si="6"/>
        <v>DBA Ins.</v>
      </c>
      <c r="Y30" s="139" t="str">
        <f t="shared" si="6"/>
        <v>Travel</v>
      </c>
      <c r="Z30" s="139" t="str">
        <f t="shared" si="6"/>
        <v>G&amp;A</v>
      </c>
      <c r="AA30" s="139" t="str">
        <f t="shared" si="6"/>
        <v>Cost</v>
      </c>
      <c r="AB30" s="139" t="str">
        <f t="shared" si="6"/>
        <v>Profit / Fee</v>
      </c>
      <c r="AC30" s="139" t="s">
        <v>128</v>
      </c>
      <c r="AD30" s="139" t="s">
        <v>127</v>
      </c>
      <c r="AE30" s="139" t="s">
        <v>100</v>
      </c>
      <c r="AF30" s="141" t="s">
        <v>126</v>
      </c>
      <c r="AG30" s="140"/>
      <c r="AH30" s="140"/>
      <c r="AI30" s="140"/>
      <c r="AJ30" s="140"/>
      <c r="AK30" s="140"/>
      <c r="AL30" s="140"/>
      <c r="AM30" s="140"/>
      <c r="AN30" s="140"/>
      <c r="AO30" s="140"/>
      <c r="AP30" s="140"/>
      <c r="AQ30" s="140"/>
      <c r="AR30" s="140"/>
      <c r="AS30" s="140"/>
      <c r="AT30" s="140"/>
      <c r="AU30" s="139"/>
      <c r="AV30" s="140"/>
      <c r="AW30" s="139"/>
      <c r="AZ30" s="46">
        <v>1</v>
      </c>
      <c r="BA30" s="46">
        <v>1</v>
      </c>
    </row>
    <row r="31" spans="4:53" s="114" customFormat="1" ht="16.5" thickBot="1">
      <c r="E31" s="122" t="s">
        <v>125</v>
      </c>
      <c r="F31" s="119"/>
      <c r="G31" s="119"/>
      <c r="H31" s="121"/>
      <c r="I31" s="119"/>
      <c r="J31" s="120"/>
      <c r="K31" s="120"/>
      <c r="L31" s="119"/>
      <c r="M31" s="118"/>
      <c r="N31" s="118"/>
      <c r="O31" s="118"/>
      <c r="P31" s="118"/>
      <c r="Q31" s="118"/>
      <c r="R31" s="118"/>
      <c r="S31" s="118"/>
      <c r="T31" s="118"/>
      <c r="U31" s="118"/>
      <c r="V31" s="118"/>
      <c r="W31" s="118"/>
      <c r="X31" s="118"/>
      <c r="Y31" s="118"/>
      <c r="Z31" s="118"/>
      <c r="AA31" s="118"/>
      <c r="AB31" s="118"/>
      <c r="AC31" s="118"/>
      <c r="AD31" s="118"/>
      <c r="AE31" s="118"/>
      <c r="AF31" s="138"/>
      <c r="AG31" s="116"/>
      <c r="AH31" s="116"/>
      <c r="AI31" s="116" t="s">
        <v>124</v>
      </c>
      <c r="AJ31" s="116" t="s">
        <v>123</v>
      </c>
      <c r="AK31" s="116" t="s">
        <v>122</v>
      </c>
      <c r="AL31" s="116"/>
      <c r="AM31" s="116"/>
      <c r="AN31" s="116"/>
      <c r="AO31" s="116"/>
      <c r="AP31" s="116" t="s">
        <v>121</v>
      </c>
      <c r="AQ31" s="116"/>
      <c r="AR31" s="116"/>
      <c r="AS31" s="116"/>
      <c r="AT31" s="116"/>
      <c r="AU31" s="116"/>
      <c r="AV31" s="116"/>
      <c r="AW31" s="115"/>
      <c r="AZ31" s="46">
        <v>1</v>
      </c>
      <c r="BA31" s="46">
        <v>1</v>
      </c>
    </row>
    <row r="32" spans="4:53">
      <c r="D32" s="45">
        <v>1</v>
      </c>
      <c r="E32" s="137" t="s">
        <v>230</v>
      </c>
      <c r="F32" s="45"/>
      <c r="G32" s="105" t="s">
        <v>99</v>
      </c>
      <c r="H32" s="45"/>
      <c r="I32" s="136">
        <v>0</v>
      </c>
      <c r="J32" s="135" t="str">
        <f t="shared" ref="J32:J46" si="7">G32&amp;D32&amp;I32&amp;L32</f>
        <v>ManTech10Govt</v>
      </c>
      <c r="K32" s="135"/>
      <c r="L32" s="105" t="s">
        <v>120</v>
      </c>
      <c r="M32" s="127">
        <v>29</v>
      </c>
      <c r="N32" s="127">
        <f t="shared" ref="N32:N46" ca="1" si="8">ROUND($M32*(VLOOKUP($L32,$L$9:$AB$24,N$6,FALSE)),2)</f>
        <v>30.7</v>
      </c>
      <c r="O32" s="127">
        <f t="shared" ref="O32:P46" ca="1" si="9">$N32*(VLOOKUP($L32,$L$9:$AB$24,O$6,FALSE))</f>
        <v>10.744999999999999</v>
      </c>
      <c r="P32" s="127">
        <f t="shared" ca="1" si="9"/>
        <v>10.744999999999999</v>
      </c>
      <c r="Q32" s="127">
        <f t="shared" ref="Q32:Q46" ca="1" si="10">($N32+O32+P32)*(VLOOKUP($L32,$L$9:$AB$24,Q$6,FALSE))</f>
        <v>16.304155999999999</v>
      </c>
      <c r="R32" s="127">
        <f t="shared" ref="R32:R46" ca="1" si="11">($N32+$Q32+O32+P32)*(VLOOKUP($L32,$L$9:$AB$24,R$6,FALSE))</f>
        <v>1.5274196787999998</v>
      </c>
      <c r="S32" s="127">
        <f t="shared" ref="S32:S37" ca="1" si="12">$S$10/SUM($AD$32:$AD$46)</f>
        <v>0.27851340996168583</v>
      </c>
      <c r="T32" s="127">
        <f t="shared" ref="T32:T37" ca="1" si="13">$T$10/SUM($AD$32:$AD$46)</f>
        <v>7.3733333333333331E-2</v>
      </c>
      <c r="U32" s="127">
        <f t="shared" ref="U32:U37" si="14">(M32*AD32)*$U$10</f>
        <v>0</v>
      </c>
      <c r="V32" s="127">
        <f t="shared" ref="V32:V37" si="15">$V$10/AD32</f>
        <v>1.4367816091954022</v>
      </c>
      <c r="W32" s="127">
        <f t="shared" ref="W32:W37" si="16">$W$10/AD32</f>
        <v>0.25875862068965516</v>
      </c>
      <c r="X32" s="127">
        <f t="shared" ref="X32:X37" ca="1" si="17">N32*$X$10</f>
        <v>0.58329999999999993</v>
      </c>
      <c r="Y32" s="127">
        <f t="shared" ref="Y32:Y37" si="18">$Y$10/AD32</f>
        <v>0.6152586206896552</v>
      </c>
      <c r="Z32" s="127">
        <f ca="1">IF($G32="ManTech",(SUM($N32:$Y32)*(VLOOKUP($L32,$L$9:$AB$24,Z$6,FALSE))),(IF(R32=0,((SUM(N32,#REF!))*(VLOOKUP($L32,$L$9:$AB$24,Z$6,FALSE))),(SUM($R32:$R32)*(VLOOKUP($L32,$L$9:$AB$24,Z$6,FALSE))))))</f>
        <v>6.7406487570856175</v>
      </c>
      <c r="AA32" s="127">
        <f t="shared" ref="AA32:AA46" ca="1" si="19">SUM(N32:Z32)</f>
        <v>80.008570029755376</v>
      </c>
      <c r="AB32" s="127">
        <f t="shared" ref="AB32:AB46" ca="1" si="20">(AA32*(VLOOKUP($L32,$L$9:$AB$24,AB$6,FALSE)))</f>
        <v>6.4006856023804302</v>
      </c>
      <c r="AC32" s="127">
        <f t="shared" ref="AC32:AC46" ca="1" si="21">ROUND(SUM(AA32:AB32),2)</f>
        <v>86.41</v>
      </c>
      <c r="AD32" s="104">
        <v>3480</v>
      </c>
      <c r="AE32" s="92">
        <f t="shared" ref="AE32:AE46" ca="1" si="22">$AC32*$AD32</f>
        <v>300706.8</v>
      </c>
      <c r="AF32" s="134">
        <f t="shared" ref="AF32:AF46" ca="1" si="23">AC32*$AF$29</f>
        <v>1036.92</v>
      </c>
      <c r="AG32" s="78"/>
      <c r="AH32" s="78"/>
      <c r="AI32" s="78">
        <f t="shared" ref="AI32:AI46" ca="1" si="24">AA32*AD32</f>
        <v>278429.8237035487</v>
      </c>
      <c r="AJ32" s="78">
        <f t="shared" ref="AJ32:AJ46" ca="1" si="25">AC32*AD32</f>
        <v>300706.8</v>
      </c>
      <c r="AK32" s="78">
        <f t="shared" ref="AK32:AK46" ca="1" si="26">AJ32-AI32</f>
        <v>22276.976296451292</v>
      </c>
      <c r="AL32" s="94">
        <f t="shared" ref="AL32:AL46" ca="1" si="27">IF(AK32=0,0,ROUND(AK32/AI32,2))</f>
        <v>0.08</v>
      </c>
      <c r="AM32" s="78"/>
      <c r="AN32" s="78"/>
      <c r="AO32" s="78"/>
      <c r="AP32" s="78">
        <f t="shared" ref="AP32:AP46" si="28">Y32*AD32</f>
        <v>2141.1</v>
      </c>
      <c r="AQ32" s="78"/>
      <c r="AR32" s="78"/>
      <c r="AS32" s="78"/>
      <c r="AT32" s="78"/>
      <c r="AU32" s="53"/>
      <c r="AV32" s="52"/>
      <c r="AW32" s="51"/>
      <c r="AZ32" s="46" t="str">
        <f t="shared" ref="AZ32:AZ46" ca="1" si="29">IF((OR((AC32=""),(AC32&gt;0))),"1","0")</f>
        <v>1</v>
      </c>
      <c r="BA32" s="46" t="str">
        <f t="shared" ref="BA32:BA46" ca="1" si="30">IF((OR((AE32=""),(AE32&gt;0))),"1","0")</f>
        <v>1</v>
      </c>
    </row>
    <row r="33" spans="4:53">
      <c r="D33" s="45">
        <f t="shared" ref="D33:D46" si="31">D32+1</f>
        <v>2</v>
      </c>
      <c r="E33" s="137" t="s">
        <v>63</v>
      </c>
      <c r="F33" s="45"/>
      <c r="G33" s="105" t="s">
        <v>99</v>
      </c>
      <c r="H33" s="45"/>
      <c r="I33" s="136">
        <v>0</v>
      </c>
      <c r="J33" s="135" t="str">
        <f t="shared" si="7"/>
        <v>ManTech20Govt</v>
      </c>
      <c r="K33" s="135"/>
      <c r="L33" s="105" t="s">
        <v>120</v>
      </c>
      <c r="M33" s="127">
        <v>33.81</v>
      </c>
      <c r="N33" s="127">
        <f t="shared" ca="1" si="8"/>
        <v>35.79</v>
      </c>
      <c r="O33" s="127">
        <f t="shared" ca="1" si="9"/>
        <v>12.526499999999999</v>
      </c>
      <c r="P33" s="127">
        <f t="shared" ca="1" si="9"/>
        <v>12.526499999999999</v>
      </c>
      <c r="Q33" s="127">
        <f t="shared" ca="1" si="10"/>
        <v>19.007353200000001</v>
      </c>
      <c r="R33" s="127">
        <f t="shared" ca="1" si="11"/>
        <v>1.7806628763600001</v>
      </c>
      <c r="S33" s="127">
        <f t="shared" ca="1" si="12"/>
        <v>0.27851340996168583</v>
      </c>
      <c r="T33" s="127">
        <f t="shared" ca="1" si="13"/>
        <v>7.3733333333333331E-2</v>
      </c>
      <c r="U33" s="127">
        <f t="shared" si="14"/>
        <v>0</v>
      </c>
      <c r="V33" s="127">
        <f t="shared" si="15"/>
        <v>1.4367816091954022</v>
      </c>
      <c r="W33" s="127">
        <f t="shared" si="16"/>
        <v>0.25875862068965516</v>
      </c>
      <c r="X33" s="127">
        <f t="shared" ca="1" si="17"/>
        <v>0.68001</v>
      </c>
      <c r="Y33" s="127">
        <f t="shared" si="18"/>
        <v>0.6152586206896552</v>
      </c>
      <c r="Z33" s="127">
        <f ca="1">IF($G33="ManTech",(SUM($N33:$Y33)*(VLOOKUP($L33,$L$9:$AB$24,Z$6,FALSE))),(IF(R33=0,((SUM(N33,#REF!))*(VLOOKUP($L33,$L$9:$AB$24,Z$6,FALSE))),(SUM($R33:$R33)*(VLOOKUP($L33,$L$9:$AB$24,Z$6,FALSE))))))</f>
        <v>7.817614593661137</v>
      </c>
      <c r="AA33" s="127">
        <f t="shared" ca="1" si="19"/>
        <v>92.791686263890881</v>
      </c>
      <c r="AB33" s="127">
        <f t="shared" ca="1" si="20"/>
        <v>7.4233349011112706</v>
      </c>
      <c r="AC33" s="127">
        <f t="shared" ca="1" si="21"/>
        <v>100.22</v>
      </c>
      <c r="AD33" s="104">
        <v>3480</v>
      </c>
      <c r="AE33" s="92">
        <f t="shared" ca="1" si="22"/>
        <v>348765.6</v>
      </c>
      <c r="AF33" s="134">
        <f t="shared" ca="1" si="23"/>
        <v>1202.6399999999999</v>
      </c>
      <c r="AG33" s="78"/>
      <c r="AH33" s="78"/>
      <c r="AI33" s="78">
        <f t="shared" ca="1" si="24"/>
        <v>322915.06819834025</v>
      </c>
      <c r="AJ33" s="78">
        <f t="shared" ca="1" si="25"/>
        <v>348765.6</v>
      </c>
      <c r="AK33" s="78">
        <f t="shared" ca="1" si="26"/>
        <v>25850.53180165973</v>
      </c>
      <c r="AL33" s="94">
        <f t="shared" ca="1" si="27"/>
        <v>0.08</v>
      </c>
      <c r="AM33" s="78"/>
      <c r="AN33" s="78"/>
      <c r="AO33" s="78"/>
      <c r="AP33" s="78">
        <f t="shared" si="28"/>
        <v>2141.1</v>
      </c>
      <c r="AQ33" s="78"/>
      <c r="AR33" s="78"/>
      <c r="AS33" s="78"/>
      <c r="AT33" s="78"/>
      <c r="AU33" s="53"/>
      <c r="AV33" s="52"/>
      <c r="AW33" s="51"/>
      <c r="AZ33" s="46" t="str">
        <f t="shared" ca="1" si="29"/>
        <v>1</v>
      </c>
      <c r="BA33" s="46" t="str">
        <f t="shared" ca="1" si="30"/>
        <v>1</v>
      </c>
    </row>
    <row r="34" spans="4:53">
      <c r="D34" s="45">
        <f t="shared" si="31"/>
        <v>3</v>
      </c>
      <c r="E34" s="137" t="s">
        <v>63</v>
      </c>
      <c r="F34" s="45"/>
      <c r="G34" s="105" t="s">
        <v>99</v>
      </c>
      <c r="H34" s="45"/>
      <c r="I34" s="136">
        <v>0</v>
      </c>
      <c r="J34" s="135" t="str">
        <f t="shared" si="7"/>
        <v>ManTech30Govt</v>
      </c>
      <c r="K34" s="135"/>
      <c r="L34" s="105" t="s">
        <v>120</v>
      </c>
      <c r="M34" s="127">
        <v>33.81</v>
      </c>
      <c r="N34" s="127">
        <f t="shared" ca="1" si="8"/>
        <v>35.79</v>
      </c>
      <c r="O34" s="127">
        <f t="shared" ca="1" si="9"/>
        <v>12.526499999999999</v>
      </c>
      <c r="P34" s="127">
        <f t="shared" ca="1" si="9"/>
        <v>12.526499999999999</v>
      </c>
      <c r="Q34" s="127">
        <f t="shared" ca="1" si="10"/>
        <v>19.007353200000001</v>
      </c>
      <c r="R34" s="127">
        <f t="shared" ca="1" si="11"/>
        <v>1.7806628763600001</v>
      </c>
      <c r="S34" s="127">
        <f t="shared" ca="1" si="12"/>
        <v>0.27851340996168583</v>
      </c>
      <c r="T34" s="127">
        <f t="shared" ca="1" si="13"/>
        <v>7.3733333333333331E-2</v>
      </c>
      <c r="U34" s="127">
        <f t="shared" si="14"/>
        <v>0</v>
      </c>
      <c r="V34" s="127">
        <f t="shared" si="15"/>
        <v>1.4367816091954022</v>
      </c>
      <c r="W34" s="127">
        <f t="shared" si="16"/>
        <v>0.25875862068965516</v>
      </c>
      <c r="X34" s="127">
        <f t="shared" ca="1" si="17"/>
        <v>0.68001</v>
      </c>
      <c r="Y34" s="127">
        <f t="shared" si="18"/>
        <v>0.6152586206896552</v>
      </c>
      <c r="Z34" s="127">
        <f ca="1">IF($G34="ManTech",(SUM($N34:$Y34)*(VLOOKUP($L34,$L$9:$AB$24,Z$6,FALSE))),(IF(R34=0,((SUM(N34,#REF!))*(VLOOKUP($L34,$L$9:$AB$24,Z$6,FALSE))),(SUM($R34:$R34)*(VLOOKUP($L34,$L$9:$AB$24,Z$6,FALSE))))))</f>
        <v>7.817614593661137</v>
      </c>
      <c r="AA34" s="127">
        <f t="shared" ca="1" si="19"/>
        <v>92.791686263890881</v>
      </c>
      <c r="AB34" s="127">
        <f t="shared" ca="1" si="20"/>
        <v>7.4233349011112706</v>
      </c>
      <c r="AC34" s="127">
        <f t="shared" ca="1" si="21"/>
        <v>100.22</v>
      </c>
      <c r="AD34" s="104">
        <v>3480</v>
      </c>
      <c r="AE34" s="92">
        <f t="shared" ca="1" si="22"/>
        <v>348765.6</v>
      </c>
      <c r="AF34" s="134">
        <f t="shared" ca="1" si="23"/>
        <v>1202.6399999999999</v>
      </c>
      <c r="AG34" s="78"/>
      <c r="AH34" s="78"/>
      <c r="AI34" s="78">
        <f t="shared" ca="1" si="24"/>
        <v>322915.06819834025</v>
      </c>
      <c r="AJ34" s="78">
        <f t="shared" ca="1" si="25"/>
        <v>348765.6</v>
      </c>
      <c r="AK34" s="78">
        <f t="shared" ca="1" si="26"/>
        <v>25850.53180165973</v>
      </c>
      <c r="AL34" s="94">
        <f t="shared" ca="1" si="27"/>
        <v>0.08</v>
      </c>
      <c r="AM34" s="78"/>
      <c r="AN34" s="78"/>
      <c r="AO34" s="78"/>
      <c r="AP34" s="78">
        <f t="shared" si="28"/>
        <v>2141.1</v>
      </c>
      <c r="AQ34" s="78"/>
      <c r="AR34" s="78"/>
      <c r="AS34" s="78"/>
      <c r="AT34" s="78"/>
      <c r="AU34" s="53"/>
      <c r="AV34" s="52"/>
      <c r="AW34" s="51"/>
      <c r="AZ34" s="46" t="str">
        <f t="shared" ca="1" si="29"/>
        <v>1</v>
      </c>
      <c r="BA34" s="46" t="str">
        <f t="shared" ca="1" si="30"/>
        <v>1</v>
      </c>
    </row>
    <row r="35" spans="4:53">
      <c r="D35" s="45">
        <f t="shared" si="31"/>
        <v>4</v>
      </c>
      <c r="E35" s="137" t="s">
        <v>63</v>
      </c>
      <c r="F35" s="45"/>
      <c r="G35" s="105" t="s">
        <v>99</v>
      </c>
      <c r="H35" s="45"/>
      <c r="I35" s="136">
        <v>0</v>
      </c>
      <c r="J35" s="135" t="str">
        <f t="shared" si="7"/>
        <v>ManTech40Govt</v>
      </c>
      <c r="K35" s="135"/>
      <c r="L35" s="105" t="s">
        <v>120</v>
      </c>
      <c r="M35" s="127">
        <v>33.81</v>
      </c>
      <c r="N35" s="127">
        <f t="shared" ca="1" si="8"/>
        <v>35.79</v>
      </c>
      <c r="O35" s="127">
        <f t="shared" ca="1" si="9"/>
        <v>12.526499999999999</v>
      </c>
      <c r="P35" s="127">
        <f t="shared" ca="1" si="9"/>
        <v>12.526499999999999</v>
      </c>
      <c r="Q35" s="127">
        <f t="shared" ca="1" si="10"/>
        <v>19.007353200000001</v>
      </c>
      <c r="R35" s="127">
        <f t="shared" ca="1" si="11"/>
        <v>1.7806628763600001</v>
      </c>
      <c r="S35" s="127">
        <f t="shared" ca="1" si="12"/>
        <v>0.27851340996168583</v>
      </c>
      <c r="T35" s="127">
        <f t="shared" ca="1" si="13"/>
        <v>7.3733333333333331E-2</v>
      </c>
      <c r="U35" s="127">
        <f t="shared" si="14"/>
        <v>0</v>
      </c>
      <c r="V35" s="127">
        <f t="shared" si="15"/>
        <v>1.4367816091954022</v>
      </c>
      <c r="W35" s="127">
        <f t="shared" si="16"/>
        <v>0.25875862068965516</v>
      </c>
      <c r="X35" s="127">
        <f t="shared" ca="1" si="17"/>
        <v>0.68001</v>
      </c>
      <c r="Y35" s="127">
        <f t="shared" si="18"/>
        <v>0.6152586206896552</v>
      </c>
      <c r="Z35" s="127">
        <f ca="1">IF($G35="ManTech",(SUM($N35:$Y35)*(VLOOKUP($L35,$L$9:$AB$24,Z$6,FALSE))),(IF(R35=0,((SUM(N35,#REF!))*(VLOOKUP($L35,$L$9:$AB$24,Z$6,FALSE))),(SUM($R35:$R35)*(VLOOKUP($L35,$L$9:$AB$24,Z$6,FALSE))))))</f>
        <v>7.817614593661137</v>
      </c>
      <c r="AA35" s="127">
        <f t="shared" ca="1" si="19"/>
        <v>92.791686263890881</v>
      </c>
      <c r="AB35" s="127">
        <f t="shared" ca="1" si="20"/>
        <v>7.4233349011112706</v>
      </c>
      <c r="AC35" s="127">
        <f t="shared" ca="1" si="21"/>
        <v>100.22</v>
      </c>
      <c r="AD35" s="104">
        <v>3480</v>
      </c>
      <c r="AE35" s="92">
        <f t="shared" ca="1" si="22"/>
        <v>348765.6</v>
      </c>
      <c r="AF35" s="134">
        <f t="shared" ca="1" si="23"/>
        <v>1202.6399999999999</v>
      </c>
      <c r="AG35" s="78"/>
      <c r="AH35" s="78"/>
      <c r="AI35" s="78">
        <f t="shared" ca="1" si="24"/>
        <v>322915.06819834025</v>
      </c>
      <c r="AJ35" s="78">
        <f t="shared" ca="1" si="25"/>
        <v>348765.6</v>
      </c>
      <c r="AK35" s="78">
        <f t="shared" ca="1" si="26"/>
        <v>25850.53180165973</v>
      </c>
      <c r="AL35" s="94">
        <f t="shared" ca="1" si="27"/>
        <v>0.08</v>
      </c>
      <c r="AM35" s="78"/>
      <c r="AN35" s="78"/>
      <c r="AO35" s="78"/>
      <c r="AP35" s="78">
        <f t="shared" si="28"/>
        <v>2141.1</v>
      </c>
      <c r="AQ35" s="78"/>
      <c r="AR35" s="78"/>
      <c r="AS35" s="78"/>
      <c r="AT35" s="78"/>
      <c r="AU35" s="53"/>
      <c r="AV35" s="52"/>
      <c r="AW35" s="51"/>
      <c r="AZ35" s="46" t="str">
        <f t="shared" ca="1" si="29"/>
        <v>1</v>
      </c>
      <c r="BA35" s="46" t="str">
        <f t="shared" ca="1" si="30"/>
        <v>1</v>
      </c>
    </row>
    <row r="36" spans="4:53">
      <c r="D36" s="45">
        <f t="shared" si="31"/>
        <v>5</v>
      </c>
      <c r="E36" s="137" t="s">
        <v>65</v>
      </c>
      <c r="F36" s="45"/>
      <c r="G36" s="105" t="s">
        <v>99</v>
      </c>
      <c r="H36" s="45"/>
      <c r="I36" s="136">
        <v>0</v>
      </c>
      <c r="J36" s="135" t="str">
        <f t="shared" si="7"/>
        <v>ManTech50Govt</v>
      </c>
      <c r="K36" s="135"/>
      <c r="L36" s="105" t="s">
        <v>120</v>
      </c>
      <c r="M36" s="127">
        <v>26</v>
      </c>
      <c r="N36" s="127">
        <f t="shared" ca="1" si="8"/>
        <v>27.52</v>
      </c>
      <c r="O36" s="127">
        <f t="shared" ca="1" si="9"/>
        <v>9.6319999999999997</v>
      </c>
      <c r="P36" s="127">
        <f t="shared" ca="1" si="9"/>
        <v>9.6319999999999997</v>
      </c>
      <c r="Q36" s="127">
        <f t="shared" ca="1" si="10"/>
        <v>14.6153216</v>
      </c>
      <c r="R36" s="127">
        <f t="shared" ca="1" si="11"/>
        <v>1.3692048716799998</v>
      </c>
      <c r="S36" s="127">
        <f t="shared" ca="1" si="12"/>
        <v>0.27851340996168583</v>
      </c>
      <c r="T36" s="127">
        <f t="shared" ca="1" si="13"/>
        <v>7.3733333333333331E-2</v>
      </c>
      <c r="U36" s="127">
        <f t="shared" si="14"/>
        <v>0</v>
      </c>
      <c r="V36" s="127">
        <f t="shared" si="15"/>
        <v>1.4367816091954022</v>
      </c>
      <c r="W36" s="127">
        <f t="shared" si="16"/>
        <v>0.25875862068965516</v>
      </c>
      <c r="X36" s="127">
        <f t="shared" ca="1" si="17"/>
        <v>0.52288000000000001</v>
      </c>
      <c r="Y36" s="127">
        <f t="shared" si="18"/>
        <v>0.6152586206896552</v>
      </c>
      <c r="Z36" s="127">
        <f ca="1">IF($G36="ManTech",(SUM($N36:$Y36)*(VLOOKUP($L36,$L$9:$AB$24,Z$6,FALSE))),(IF(R36=0,((SUM(N36,#REF!))*(VLOOKUP($L36,$L$9:$AB$24,Z$6,FALSE))),(SUM($R36:$R36)*(VLOOKUP($L36,$L$9:$AB$24,Z$6,FALSE))))))</f>
        <v>6.0678095900305768</v>
      </c>
      <c r="AA36" s="127">
        <f t="shared" ca="1" si="19"/>
        <v>72.022261655580323</v>
      </c>
      <c r="AB36" s="127">
        <f t="shared" ca="1" si="20"/>
        <v>5.7617809324464258</v>
      </c>
      <c r="AC36" s="127">
        <f t="shared" ca="1" si="21"/>
        <v>77.78</v>
      </c>
      <c r="AD36" s="104">
        <v>3480</v>
      </c>
      <c r="AE36" s="92">
        <f t="shared" ca="1" si="22"/>
        <v>270674.40000000002</v>
      </c>
      <c r="AF36" s="134">
        <f t="shared" ca="1" si="23"/>
        <v>933.36</v>
      </c>
      <c r="AG36" s="78"/>
      <c r="AH36" s="78"/>
      <c r="AI36" s="78">
        <f t="shared" ca="1" si="24"/>
        <v>250637.47056141953</v>
      </c>
      <c r="AJ36" s="78">
        <f t="shared" ca="1" si="25"/>
        <v>270674.40000000002</v>
      </c>
      <c r="AK36" s="78">
        <f t="shared" ca="1" si="26"/>
        <v>20036.929438580497</v>
      </c>
      <c r="AL36" s="94">
        <f t="shared" ca="1" si="27"/>
        <v>0.08</v>
      </c>
      <c r="AM36" s="78"/>
      <c r="AN36" s="78"/>
      <c r="AO36" s="78"/>
      <c r="AP36" s="78">
        <f t="shared" si="28"/>
        <v>2141.1</v>
      </c>
      <c r="AQ36" s="78"/>
      <c r="AR36" s="78"/>
      <c r="AS36" s="78"/>
      <c r="AT36" s="78"/>
      <c r="AU36" s="53"/>
      <c r="AV36" s="52"/>
      <c r="AW36" s="51"/>
      <c r="AZ36" s="46" t="str">
        <f t="shared" ca="1" si="29"/>
        <v>1</v>
      </c>
      <c r="BA36" s="46" t="str">
        <f t="shared" ca="1" si="30"/>
        <v>1</v>
      </c>
    </row>
    <row r="37" spans="4:53">
      <c r="D37" s="45">
        <f t="shared" si="31"/>
        <v>6</v>
      </c>
      <c r="E37" s="137" t="s">
        <v>65</v>
      </c>
      <c r="F37" s="45"/>
      <c r="G37" s="105" t="s">
        <v>99</v>
      </c>
      <c r="H37" s="45"/>
      <c r="I37" s="136">
        <v>0</v>
      </c>
      <c r="J37" s="135" t="str">
        <f t="shared" si="7"/>
        <v>ManTech60Govt</v>
      </c>
      <c r="K37" s="135"/>
      <c r="L37" s="105" t="s">
        <v>120</v>
      </c>
      <c r="M37" s="127">
        <v>26</v>
      </c>
      <c r="N37" s="127">
        <f t="shared" ca="1" si="8"/>
        <v>27.52</v>
      </c>
      <c r="O37" s="127">
        <f t="shared" ca="1" si="9"/>
        <v>9.6319999999999997</v>
      </c>
      <c r="P37" s="127">
        <f t="shared" ca="1" si="9"/>
        <v>9.6319999999999997</v>
      </c>
      <c r="Q37" s="127">
        <f t="shared" ca="1" si="10"/>
        <v>14.6153216</v>
      </c>
      <c r="R37" s="127">
        <f t="shared" ca="1" si="11"/>
        <v>1.3692048716799998</v>
      </c>
      <c r="S37" s="127">
        <f t="shared" ca="1" si="12"/>
        <v>0.27851340996168583</v>
      </c>
      <c r="T37" s="127">
        <f t="shared" ca="1" si="13"/>
        <v>7.3733333333333331E-2</v>
      </c>
      <c r="U37" s="127">
        <f t="shared" si="14"/>
        <v>0</v>
      </c>
      <c r="V37" s="127">
        <f t="shared" si="15"/>
        <v>1.4367816091954022</v>
      </c>
      <c r="W37" s="127">
        <f t="shared" si="16"/>
        <v>0.25875862068965516</v>
      </c>
      <c r="X37" s="127">
        <f t="shared" ca="1" si="17"/>
        <v>0.52288000000000001</v>
      </c>
      <c r="Y37" s="127">
        <f t="shared" si="18"/>
        <v>0.6152586206896552</v>
      </c>
      <c r="Z37" s="127">
        <f ca="1">IF($G37="ManTech",(SUM($N37:$Y37)*(VLOOKUP($L37,$L$9:$AB$24,Z$6,FALSE))),(IF(R37=0,((SUM(N37,#REF!))*(VLOOKUP($L37,$L$9:$AB$24,Z$6,FALSE))),(SUM($R37:$R37)*(VLOOKUP($L37,$L$9:$AB$24,Z$6,FALSE))))))</f>
        <v>6.0678095900305768</v>
      </c>
      <c r="AA37" s="127">
        <f t="shared" ca="1" si="19"/>
        <v>72.022261655580323</v>
      </c>
      <c r="AB37" s="127">
        <f t="shared" ca="1" si="20"/>
        <v>5.7617809324464258</v>
      </c>
      <c r="AC37" s="127">
        <f t="shared" ca="1" si="21"/>
        <v>77.78</v>
      </c>
      <c r="AD37" s="104">
        <v>3480</v>
      </c>
      <c r="AE37" s="92">
        <f t="shared" ca="1" si="22"/>
        <v>270674.40000000002</v>
      </c>
      <c r="AF37" s="134">
        <f t="shared" ca="1" si="23"/>
        <v>933.36</v>
      </c>
      <c r="AG37" s="78"/>
      <c r="AH37" s="78"/>
      <c r="AI37" s="78">
        <f t="shared" ca="1" si="24"/>
        <v>250637.47056141953</v>
      </c>
      <c r="AJ37" s="78">
        <f t="shared" ca="1" si="25"/>
        <v>270674.40000000002</v>
      </c>
      <c r="AK37" s="78">
        <f t="shared" ca="1" si="26"/>
        <v>20036.929438580497</v>
      </c>
      <c r="AL37" s="94">
        <f t="shared" ca="1" si="27"/>
        <v>0.08</v>
      </c>
      <c r="AM37" s="78"/>
      <c r="AN37" s="78"/>
      <c r="AO37" s="78"/>
      <c r="AP37" s="78">
        <f t="shared" si="28"/>
        <v>2141.1</v>
      </c>
      <c r="AQ37" s="78"/>
      <c r="AR37" s="78"/>
      <c r="AS37" s="78"/>
      <c r="AT37" s="78"/>
      <c r="AU37" s="53"/>
      <c r="AV37" s="52"/>
      <c r="AW37" s="51"/>
      <c r="AZ37" s="46" t="str">
        <f t="shared" ca="1" si="29"/>
        <v>1</v>
      </c>
      <c r="BA37" s="46" t="str">
        <f t="shared" ca="1" si="30"/>
        <v>1</v>
      </c>
    </row>
    <row r="38" spans="4:53">
      <c r="D38" s="45">
        <f t="shared" si="31"/>
        <v>7</v>
      </c>
      <c r="E38" s="137" t="s">
        <v>66</v>
      </c>
      <c r="F38" s="45"/>
      <c r="G38" s="105" t="s">
        <v>241</v>
      </c>
      <c r="H38" s="45"/>
      <c r="I38" s="136">
        <v>0</v>
      </c>
      <c r="J38" s="135" t="str">
        <f t="shared" si="7"/>
        <v>Segovia, Inc.70Govt_Sub</v>
      </c>
      <c r="K38" s="135"/>
      <c r="L38" s="105" t="s">
        <v>119</v>
      </c>
      <c r="M38" s="127">
        <v>79.083333333333329</v>
      </c>
      <c r="N38" s="127">
        <f t="shared" ca="1" si="8"/>
        <v>79.08</v>
      </c>
      <c r="O38" s="127">
        <f t="shared" ca="1" si="9"/>
        <v>0</v>
      </c>
      <c r="P38" s="127">
        <f t="shared" ca="1" si="9"/>
        <v>0</v>
      </c>
      <c r="Q38" s="127">
        <f t="shared" ca="1" si="10"/>
        <v>0</v>
      </c>
      <c r="R38" s="127">
        <f t="shared" ca="1" si="11"/>
        <v>2.3486760000000002</v>
      </c>
      <c r="S38" s="127"/>
      <c r="T38" s="127"/>
      <c r="U38" s="127">
        <v>0</v>
      </c>
      <c r="V38" s="127">
        <v>0</v>
      </c>
      <c r="W38" s="127">
        <v>0</v>
      </c>
      <c r="X38" s="127">
        <v>0</v>
      </c>
      <c r="Y38" s="127">
        <v>0</v>
      </c>
      <c r="Z38" s="127">
        <f ca="1">IF($G38="ManTech",(SUM($N38:$Y38)*(VLOOKUP($L38,$L$9:$AB$24,Z$6,FALSE))),(IF(R38=0,((SUM(N38,#REF!))*(VLOOKUP($L38,$L$9:$AB$24,Z$6,FALSE))),(SUM($R38:$R38)*(VLOOKUP($L38,$L$9:$AB$24,Z$6,FALSE))))))</f>
        <v>0.216078192</v>
      </c>
      <c r="AA38" s="127">
        <f t="shared" ca="1" si="19"/>
        <v>81.644754191999994</v>
      </c>
      <c r="AB38" s="127">
        <f t="shared" ca="1" si="20"/>
        <v>6.5315803353599993</v>
      </c>
      <c r="AC38" s="127">
        <f t="shared" ca="1" si="21"/>
        <v>88.18</v>
      </c>
      <c r="AD38" s="104">
        <v>3480</v>
      </c>
      <c r="AE38" s="92">
        <f t="shared" ca="1" si="22"/>
        <v>306866.40000000002</v>
      </c>
      <c r="AF38" s="134">
        <f t="shared" ca="1" si="23"/>
        <v>1058.1600000000001</v>
      </c>
      <c r="AG38" s="78"/>
      <c r="AH38" s="78"/>
      <c r="AI38" s="78">
        <f t="shared" ca="1" si="24"/>
        <v>284123.74458815996</v>
      </c>
      <c r="AJ38" s="78">
        <f t="shared" ca="1" si="25"/>
        <v>306866.40000000002</v>
      </c>
      <c r="AK38" s="78">
        <f t="shared" ca="1" si="26"/>
        <v>22742.655411840067</v>
      </c>
      <c r="AL38" s="94">
        <f t="shared" ca="1" si="27"/>
        <v>0.08</v>
      </c>
      <c r="AM38" s="78"/>
      <c r="AN38" s="78"/>
      <c r="AO38" s="78"/>
      <c r="AP38" s="78">
        <f t="shared" si="28"/>
        <v>0</v>
      </c>
      <c r="AQ38" s="78"/>
      <c r="AR38" s="78"/>
      <c r="AS38" s="78"/>
      <c r="AT38" s="78"/>
      <c r="AU38" s="53"/>
      <c r="AV38" s="52"/>
      <c r="AW38" s="51"/>
      <c r="AZ38" s="46" t="str">
        <f t="shared" ca="1" si="29"/>
        <v>1</v>
      </c>
      <c r="BA38" s="46" t="str">
        <f t="shared" ca="1" si="30"/>
        <v>1</v>
      </c>
    </row>
    <row r="39" spans="4:53">
      <c r="D39" s="45">
        <f t="shared" si="31"/>
        <v>8</v>
      </c>
      <c r="E39" s="137" t="s">
        <v>266</v>
      </c>
      <c r="F39" s="45"/>
      <c r="G39" s="105" t="s">
        <v>241</v>
      </c>
      <c r="H39" s="45"/>
      <c r="I39" s="136">
        <v>0</v>
      </c>
      <c r="J39" s="135" t="str">
        <f t="shared" si="7"/>
        <v>Segovia, Inc.80Govt_Sub</v>
      </c>
      <c r="K39" s="135"/>
      <c r="L39" s="105" t="s">
        <v>119</v>
      </c>
      <c r="M39" s="127">
        <v>67.416666666666671</v>
      </c>
      <c r="N39" s="127">
        <f t="shared" ca="1" si="8"/>
        <v>67.42</v>
      </c>
      <c r="O39" s="127">
        <f t="shared" ca="1" si="9"/>
        <v>0</v>
      </c>
      <c r="P39" s="127">
        <f t="shared" ca="1" si="9"/>
        <v>0</v>
      </c>
      <c r="Q39" s="127">
        <f t="shared" ca="1" si="10"/>
        <v>0</v>
      </c>
      <c r="R39" s="127">
        <f t="shared" ca="1" si="11"/>
        <v>2.0023740000000001</v>
      </c>
      <c r="S39" s="127"/>
      <c r="T39" s="127"/>
      <c r="U39" s="127">
        <v>0</v>
      </c>
      <c r="V39" s="127">
        <v>0</v>
      </c>
      <c r="W39" s="127">
        <v>0</v>
      </c>
      <c r="X39" s="127">
        <v>0</v>
      </c>
      <c r="Y39" s="127">
        <v>0</v>
      </c>
      <c r="Z39" s="127">
        <f ca="1">IF($G39="ManTech",(SUM($N39:$Y39)*(VLOOKUP($L39,$L$9:$AB$24,Z$6,FALSE))),(IF(R39=0,((SUM(N39,#REF!))*(VLOOKUP($L39,$L$9:$AB$24,Z$6,FALSE))),(SUM($R39:$R39)*(VLOOKUP($L39,$L$9:$AB$24,Z$6,FALSE))))))</f>
        <v>0.184218408</v>
      </c>
      <c r="AA39" s="127">
        <f t="shared" ca="1" si="19"/>
        <v>69.606592408000012</v>
      </c>
      <c r="AB39" s="127">
        <f t="shared" ca="1" si="20"/>
        <v>5.568527392640001</v>
      </c>
      <c r="AC39" s="127">
        <f t="shared" ca="1" si="21"/>
        <v>75.180000000000007</v>
      </c>
      <c r="AD39" s="104">
        <v>3480</v>
      </c>
      <c r="AE39" s="92">
        <f t="shared" ca="1" si="22"/>
        <v>261626.40000000002</v>
      </c>
      <c r="AF39" s="134">
        <f t="shared" ca="1" si="23"/>
        <v>902.16000000000008</v>
      </c>
      <c r="AG39" s="78"/>
      <c r="AH39" s="78"/>
      <c r="AI39" s="78">
        <f t="shared" ca="1" si="24"/>
        <v>242230.94157984003</v>
      </c>
      <c r="AJ39" s="78">
        <f t="shared" ca="1" si="25"/>
        <v>261626.40000000002</v>
      </c>
      <c r="AK39" s="78">
        <f t="shared" ca="1" si="26"/>
        <v>19395.458420159994</v>
      </c>
      <c r="AL39" s="94">
        <f t="shared" ca="1" si="27"/>
        <v>0.08</v>
      </c>
      <c r="AM39" s="78"/>
      <c r="AN39" s="78"/>
      <c r="AO39" s="78"/>
      <c r="AP39" s="78">
        <f t="shared" si="28"/>
        <v>0</v>
      </c>
      <c r="AQ39" s="78"/>
      <c r="AR39" s="78"/>
      <c r="AS39" s="78"/>
      <c r="AT39" s="78"/>
      <c r="AU39" s="53"/>
      <c r="AV39" s="52"/>
      <c r="AW39" s="51"/>
      <c r="AZ39" s="46" t="str">
        <f t="shared" ca="1" si="29"/>
        <v>1</v>
      </c>
      <c r="BA39" s="46" t="str">
        <f t="shared" ca="1" si="30"/>
        <v>1</v>
      </c>
    </row>
    <row r="40" spans="4:53">
      <c r="D40" s="45">
        <f t="shared" si="31"/>
        <v>9</v>
      </c>
      <c r="E40" s="137" t="s">
        <v>74</v>
      </c>
      <c r="F40" s="45"/>
      <c r="G40" s="105" t="s">
        <v>241</v>
      </c>
      <c r="H40" s="45"/>
      <c r="I40" s="136">
        <v>0</v>
      </c>
      <c r="J40" s="135" t="str">
        <f t="shared" si="7"/>
        <v>Segovia, Inc.90Govt_Sub</v>
      </c>
      <c r="K40" s="135"/>
      <c r="L40" s="105" t="s">
        <v>119</v>
      </c>
      <c r="M40" s="127">
        <v>59.083333333333336</v>
      </c>
      <c r="N40" s="127">
        <f t="shared" ca="1" si="8"/>
        <v>59.08</v>
      </c>
      <c r="O40" s="127">
        <f t="shared" ca="1" si="9"/>
        <v>0</v>
      </c>
      <c r="P40" s="127">
        <f t="shared" ca="1" si="9"/>
        <v>0</v>
      </c>
      <c r="Q40" s="127">
        <f t="shared" ca="1" si="10"/>
        <v>0</v>
      </c>
      <c r="R40" s="127">
        <f t="shared" ca="1" si="11"/>
        <v>1.7546759999999999</v>
      </c>
      <c r="S40" s="127"/>
      <c r="T40" s="127"/>
      <c r="U40" s="127">
        <v>0</v>
      </c>
      <c r="V40" s="127">
        <v>0</v>
      </c>
      <c r="W40" s="127">
        <v>0</v>
      </c>
      <c r="X40" s="127">
        <v>0</v>
      </c>
      <c r="Y40" s="127">
        <v>0</v>
      </c>
      <c r="Z40" s="127">
        <f ca="1">IF($G40="ManTech",(SUM($N40:$Y40)*(VLOOKUP($L40,$L$9:$AB$24,Z$6,FALSE))),(IF(R40=0,((SUM(N40,#REF!))*(VLOOKUP($L40,$L$9:$AB$24,Z$6,FALSE))),(SUM($R40:$R40)*(VLOOKUP($L40,$L$9:$AB$24,Z$6,FALSE))))))</f>
        <v>0.161430192</v>
      </c>
      <c r="AA40" s="127">
        <f t="shared" ca="1" si="19"/>
        <v>60.996106191999999</v>
      </c>
      <c r="AB40" s="127">
        <f t="shared" ca="1" si="20"/>
        <v>4.8796884953599999</v>
      </c>
      <c r="AC40" s="127">
        <f t="shared" ca="1" si="21"/>
        <v>65.88</v>
      </c>
      <c r="AD40" s="104">
        <v>3480</v>
      </c>
      <c r="AE40" s="92">
        <f t="shared" ca="1" si="22"/>
        <v>229262.4</v>
      </c>
      <c r="AF40" s="134">
        <f t="shared" ca="1" si="23"/>
        <v>790.56</v>
      </c>
      <c r="AG40" s="78"/>
      <c r="AH40" s="78"/>
      <c r="AI40" s="78">
        <f t="shared" ca="1" si="24"/>
        <v>212266.44954815999</v>
      </c>
      <c r="AJ40" s="78">
        <f t="shared" ca="1" si="25"/>
        <v>229262.4</v>
      </c>
      <c r="AK40" s="78">
        <f t="shared" ca="1" si="26"/>
        <v>16995.950451840006</v>
      </c>
      <c r="AL40" s="94">
        <f t="shared" ca="1" si="27"/>
        <v>0.08</v>
      </c>
      <c r="AM40" s="78"/>
      <c r="AN40" s="78"/>
      <c r="AO40" s="78"/>
      <c r="AP40" s="78">
        <f t="shared" si="28"/>
        <v>0</v>
      </c>
      <c r="AQ40" s="78"/>
      <c r="AR40" s="78"/>
      <c r="AS40" s="78"/>
      <c r="AT40" s="78"/>
      <c r="AU40" s="53"/>
      <c r="AV40" s="52"/>
      <c r="AW40" s="51"/>
      <c r="AZ40" s="46" t="str">
        <f t="shared" ca="1" si="29"/>
        <v>1</v>
      </c>
      <c r="BA40" s="46" t="str">
        <f t="shared" ca="1" si="30"/>
        <v>1</v>
      </c>
    </row>
    <row r="41" spans="4:53">
      <c r="D41" s="45">
        <f t="shared" si="31"/>
        <v>10</v>
      </c>
      <c r="E41" s="137" t="s">
        <v>74</v>
      </c>
      <c r="F41" s="45"/>
      <c r="G41" s="105" t="s">
        <v>241</v>
      </c>
      <c r="H41" s="45"/>
      <c r="I41" s="136">
        <v>0</v>
      </c>
      <c r="J41" s="135" t="str">
        <f t="shared" si="7"/>
        <v>Segovia, Inc.100Govt_Sub</v>
      </c>
      <c r="K41" s="135"/>
      <c r="L41" s="105" t="s">
        <v>119</v>
      </c>
      <c r="M41" s="127">
        <v>59.083333333333336</v>
      </c>
      <c r="N41" s="127">
        <f t="shared" ca="1" si="8"/>
        <v>59.08</v>
      </c>
      <c r="O41" s="127">
        <f t="shared" ca="1" si="9"/>
        <v>0</v>
      </c>
      <c r="P41" s="127">
        <f t="shared" ca="1" si="9"/>
        <v>0</v>
      </c>
      <c r="Q41" s="127">
        <f t="shared" ca="1" si="10"/>
        <v>0</v>
      </c>
      <c r="R41" s="127">
        <f t="shared" ca="1" si="11"/>
        <v>1.7546759999999999</v>
      </c>
      <c r="S41" s="127"/>
      <c r="T41" s="127"/>
      <c r="U41" s="127">
        <v>0</v>
      </c>
      <c r="V41" s="127">
        <v>0</v>
      </c>
      <c r="W41" s="127">
        <v>0</v>
      </c>
      <c r="X41" s="127">
        <v>0</v>
      </c>
      <c r="Y41" s="127">
        <v>0</v>
      </c>
      <c r="Z41" s="127">
        <f ca="1">IF($G41="ManTech",(SUM($N41:$Y41)*(VLOOKUP($L41,$L$9:$AB$24,Z$6,FALSE))),(IF(R41=0,((SUM(N41,#REF!))*(VLOOKUP($L41,$L$9:$AB$24,Z$6,FALSE))),(SUM($R41:$R41)*(VLOOKUP($L41,$L$9:$AB$24,Z$6,FALSE))))))</f>
        <v>0.161430192</v>
      </c>
      <c r="AA41" s="127">
        <f t="shared" ca="1" si="19"/>
        <v>60.996106191999999</v>
      </c>
      <c r="AB41" s="127">
        <f t="shared" ca="1" si="20"/>
        <v>4.8796884953599999</v>
      </c>
      <c r="AC41" s="127">
        <f t="shared" ca="1" si="21"/>
        <v>65.88</v>
      </c>
      <c r="AD41" s="104">
        <v>3480</v>
      </c>
      <c r="AE41" s="92">
        <f t="shared" ca="1" si="22"/>
        <v>229262.4</v>
      </c>
      <c r="AF41" s="134">
        <f t="shared" ca="1" si="23"/>
        <v>790.56</v>
      </c>
      <c r="AG41" s="78"/>
      <c r="AH41" s="78"/>
      <c r="AI41" s="78">
        <f t="shared" ca="1" si="24"/>
        <v>212266.44954815999</v>
      </c>
      <c r="AJ41" s="78">
        <f t="shared" ca="1" si="25"/>
        <v>229262.4</v>
      </c>
      <c r="AK41" s="78">
        <f t="shared" ca="1" si="26"/>
        <v>16995.950451840006</v>
      </c>
      <c r="AL41" s="94">
        <f t="shared" ca="1" si="27"/>
        <v>0.08</v>
      </c>
      <c r="AM41" s="78"/>
      <c r="AN41" s="78"/>
      <c r="AO41" s="78"/>
      <c r="AP41" s="78">
        <f t="shared" si="28"/>
        <v>0</v>
      </c>
      <c r="AQ41" s="78"/>
      <c r="AR41" s="78"/>
      <c r="AS41" s="78"/>
      <c r="AT41" s="78"/>
      <c r="AU41" s="53"/>
      <c r="AV41" s="52"/>
      <c r="AW41" s="51"/>
      <c r="AZ41" s="46" t="str">
        <f t="shared" ca="1" si="29"/>
        <v>1</v>
      </c>
      <c r="BA41" s="46" t="str">
        <f t="shared" ca="1" si="30"/>
        <v>1</v>
      </c>
    </row>
    <row r="42" spans="4:53">
      <c r="D42" s="45">
        <f t="shared" si="31"/>
        <v>11</v>
      </c>
      <c r="E42" s="137" t="s">
        <v>75</v>
      </c>
      <c r="F42" s="45"/>
      <c r="G42" s="105" t="s">
        <v>99</v>
      </c>
      <c r="H42" s="45"/>
      <c r="I42" s="136">
        <v>0</v>
      </c>
      <c r="J42" s="135" t="str">
        <f t="shared" si="7"/>
        <v>ManTech110Govt</v>
      </c>
      <c r="K42" s="135"/>
      <c r="L42" s="105" t="s">
        <v>120</v>
      </c>
      <c r="M42" s="127">
        <v>27.5</v>
      </c>
      <c r="N42" s="127">
        <f t="shared" ca="1" si="8"/>
        <v>29.11</v>
      </c>
      <c r="O42" s="127">
        <f t="shared" ca="1" si="9"/>
        <v>10.188499999999999</v>
      </c>
      <c r="P42" s="127">
        <f t="shared" ca="1" si="9"/>
        <v>10.188499999999999</v>
      </c>
      <c r="Q42" s="127">
        <f t="shared" ca="1" si="10"/>
        <v>15.459738799999998</v>
      </c>
      <c r="R42" s="127">
        <f t="shared" ca="1" si="11"/>
        <v>1.4483122752399997</v>
      </c>
      <c r="S42" s="127">
        <f ca="1">$S$10/SUM($AD$32:$AD$46)</f>
        <v>0.27851340996168583</v>
      </c>
      <c r="T42" s="127">
        <f ca="1">$T$10/SUM($AD$32:$AD$46)</f>
        <v>7.3733333333333331E-2</v>
      </c>
      <c r="U42" s="127">
        <f>(M42*AD42)*$U$10</f>
        <v>0</v>
      </c>
      <c r="V42" s="127">
        <f>$V$10/AD42</f>
        <v>1.4367816091954022</v>
      </c>
      <c r="W42" s="127">
        <f>$W$10/AD42</f>
        <v>0.25875862068965516</v>
      </c>
      <c r="X42" s="127">
        <f ca="1">N42*$X$10</f>
        <v>0.55308999999999997</v>
      </c>
      <c r="Y42" s="127">
        <f>$Y$10/AD42</f>
        <v>0.6152586206896552</v>
      </c>
      <c r="Z42" s="127">
        <f ca="1">IF($G42="ManTech",(SUM($N42:$Y42)*(VLOOKUP($L42,$L$9:$AB$24,Z$6,FALSE))),(IF(R42=0,((SUM(N42,#REF!))*(VLOOKUP($L42,$L$9:$AB$24,Z$6,FALSE))),(SUM($R42:$R42)*(VLOOKUP($L42,$L$9:$AB$24,Z$6,FALSE))))))</f>
        <v>6.4042291735580958</v>
      </c>
      <c r="AA42" s="127">
        <f t="shared" ca="1" si="19"/>
        <v>76.015415842667835</v>
      </c>
      <c r="AB42" s="127">
        <f t="shared" ca="1" si="20"/>
        <v>6.0812332674134266</v>
      </c>
      <c r="AC42" s="127">
        <f t="shared" ca="1" si="21"/>
        <v>82.1</v>
      </c>
      <c r="AD42" s="104">
        <v>3480</v>
      </c>
      <c r="AE42" s="92">
        <f t="shared" ca="1" si="22"/>
        <v>285708</v>
      </c>
      <c r="AF42" s="134">
        <f t="shared" ca="1" si="23"/>
        <v>985.19999999999993</v>
      </c>
      <c r="AG42" s="78"/>
      <c r="AH42" s="78"/>
      <c r="AI42" s="78">
        <f t="shared" ca="1" si="24"/>
        <v>264533.64713248407</v>
      </c>
      <c r="AJ42" s="78">
        <f t="shared" ca="1" si="25"/>
        <v>285708</v>
      </c>
      <c r="AK42" s="78">
        <f t="shared" ca="1" si="26"/>
        <v>21174.352867515932</v>
      </c>
      <c r="AL42" s="94">
        <f t="shared" ca="1" si="27"/>
        <v>0.08</v>
      </c>
      <c r="AM42" s="78"/>
      <c r="AN42" s="78"/>
      <c r="AO42" s="78"/>
      <c r="AP42" s="78">
        <f t="shared" si="28"/>
        <v>2141.1</v>
      </c>
      <c r="AQ42" s="78"/>
      <c r="AR42" s="78"/>
      <c r="AS42" s="78"/>
      <c r="AT42" s="78"/>
      <c r="AU42" s="53"/>
      <c r="AV42" s="52"/>
      <c r="AW42" s="51"/>
      <c r="AZ42" s="46" t="str">
        <f t="shared" ca="1" si="29"/>
        <v>1</v>
      </c>
      <c r="BA42" s="46" t="str">
        <f t="shared" ca="1" si="30"/>
        <v>1</v>
      </c>
    </row>
    <row r="43" spans="4:53">
      <c r="D43" s="45">
        <f t="shared" si="31"/>
        <v>12</v>
      </c>
      <c r="E43" s="137" t="s">
        <v>76</v>
      </c>
      <c r="F43" s="45"/>
      <c r="G43" s="105" t="s">
        <v>99</v>
      </c>
      <c r="H43" s="45"/>
      <c r="I43" s="136">
        <v>0</v>
      </c>
      <c r="J43" s="135" t="str">
        <f t="shared" si="7"/>
        <v>ManTech120Govt</v>
      </c>
      <c r="K43" s="135"/>
      <c r="L43" s="105" t="s">
        <v>120</v>
      </c>
      <c r="M43" s="127">
        <v>28</v>
      </c>
      <c r="N43" s="127">
        <f t="shared" ca="1" si="8"/>
        <v>29.64</v>
      </c>
      <c r="O43" s="127">
        <f t="shared" ca="1" si="9"/>
        <v>10.373999999999999</v>
      </c>
      <c r="P43" s="127">
        <f t="shared" ca="1" si="9"/>
        <v>10.373999999999999</v>
      </c>
      <c r="Q43" s="127">
        <f t="shared" ca="1" si="10"/>
        <v>15.741211199999999</v>
      </c>
      <c r="R43" s="127">
        <f t="shared" ca="1" si="11"/>
        <v>1.4746814097599996</v>
      </c>
      <c r="S43" s="127">
        <f ca="1">$S$10/SUM($AD$32:$AD$46)</f>
        <v>0.27851340996168583</v>
      </c>
      <c r="T43" s="127">
        <f ca="1">$T$10/SUM($AD$32:$AD$46)</f>
        <v>7.3733333333333331E-2</v>
      </c>
      <c r="U43" s="127">
        <f>(M43*AD43)*$U$10</f>
        <v>0</v>
      </c>
      <c r="V43" s="127">
        <f>$V$10/AD43</f>
        <v>1.4367816091954022</v>
      </c>
      <c r="W43" s="127">
        <f>$W$10/AD43</f>
        <v>0.25875862068965516</v>
      </c>
      <c r="X43" s="127">
        <f ca="1">N43*$X$10</f>
        <v>0.56315999999999999</v>
      </c>
      <c r="Y43" s="127">
        <f>$Y$10/AD43</f>
        <v>0.6152586206896552</v>
      </c>
      <c r="Z43" s="127">
        <f ca="1">IF($G43="ManTech",(SUM($N43:$Y43)*(VLOOKUP($L43,$L$9:$AB$24,Z$6,FALSE))),(IF(R43=0,((SUM(N43,#REF!))*(VLOOKUP($L43,$L$9:$AB$24,Z$6,FALSE))),(SUM($R43:$R43)*(VLOOKUP($L43,$L$9:$AB$24,Z$6,FALSE))))))</f>
        <v>6.5163690347339349</v>
      </c>
      <c r="AA43" s="127">
        <f t="shared" ca="1" si="19"/>
        <v>77.346467238363672</v>
      </c>
      <c r="AB43" s="127">
        <f t="shared" ca="1" si="20"/>
        <v>6.1877173790690936</v>
      </c>
      <c r="AC43" s="127">
        <f t="shared" ca="1" si="21"/>
        <v>83.53</v>
      </c>
      <c r="AD43" s="104">
        <v>3480</v>
      </c>
      <c r="AE43" s="92">
        <f t="shared" ca="1" si="22"/>
        <v>290684.40000000002</v>
      </c>
      <c r="AF43" s="134">
        <f t="shared" ca="1" si="23"/>
        <v>1002.36</v>
      </c>
      <c r="AG43" s="78"/>
      <c r="AH43" s="78"/>
      <c r="AI43" s="78">
        <f t="shared" ca="1" si="24"/>
        <v>269165.70598950557</v>
      </c>
      <c r="AJ43" s="78">
        <f t="shared" ca="1" si="25"/>
        <v>290684.40000000002</v>
      </c>
      <c r="AK43" s="78">
        <f t="shared" ca="1" si="26"/>
        <v>21518.694010494452</v>
      </c>
      <c r="AL43" s="94">
        <f t="shared" ca="1" si="27"/>
        <v>0.08</v>
      </c>
      <c r="AM43" s="78"/>
      <c r="AN43" s="78"/>
      <c r="AO43" s="78"/>
      <c r="AP43" s="78">
        <f t="shared" si="28"/>
        <v>2141.1</v>
      </c>
      <c r="AQ43" s="78"/>
      <c r="AR43" s="78"/>
      <c r="AS43" s="78"/>
      <c r="AT43" s="78"/>
      <c r="AU43" s="53"/>
      <c r="AV43" s="52"/>
      <c r="AW43" s="51"/>
      <c r="AZ43" s="46" t="str">
        <f t="shared" ca="1" si="29"/>
        <v>1</v>
      </c>
      <c r="BA43" s="46" t="str">
        <f t="shared" ca="1" si="30"/>
        <v>1</v>
      </c>
    </row>
    <row r="44" spans="4:53">
      <c r="D44" s="45">
        <f t="shared" si="31"/>
        <v>13</v>
      </c>
      <c r="E44" s="137" t="s">
        <v>77</v>
      </c>
      <c r="F44" s="45"/>
      <c r="G44" s="105" t="s">
        <v>99</v>
      </c>
      <c r="H44" s="45"/>
      <c r="I44" s="136">
        <v>0</v>
      </c>
      <c r="J44" s="135" t="str">
        <f t="shared" si="7"/>
        <v>ManTech130Govt</v>
      </c>
      <c r="K44" s="135"/>
      <c r="L44" s="105" t="s">
        <v>120</v>
      </c>
      <c r="M44" s="127">
        <v>26</v>
      </c>
      <c r="N44" s="127">
        <f t="shared" ca="1" si="8"/>
        <v>27.52</v>
      </c>
      <c r="O44" s="127">
        <f t="shared" ca="1" si="9"/>
        <v>9.6319999999999997</v>
      </c>
      <c r="P44" s="127">
        <f t="shared" ca="1" si="9"/>
        <v>9.6319999999999997</v>
      </c>
      <c r="Q44" s="127">
        <f t="shared" ca="1" si="10"/>
        <v>14.6153216</v>
      </c>
      <c r="R44" s="127">
        <f t="shared" ca="1" si="11"/>
        <v>1.3692048716799998</v>
      </c>
      <c r="S44" s="127">
        <f ca="1">$S$10/SUM($AD$32:$AD$46)</f>
        <v>0.27851340996168583</v>
      </c>
      <c r="T44" s="127">
        <f ca="1">$T$10/SUM($AD$32:$AD$46)</f>
        <v>7.3733333333333331E-2</v>
      </c>
      <c r="U44" s="127">
        <f>(M44*AD44)*$U$10</f>
        <v>0</v>
      </c>
      <c r="V44" s="127">
        <f>$V$10/AD44</f>
        <v>1.4367816091954022</v>
      </c>
      <c r="W44" s="127">
        <f>$W$10/AD44</f>
        <v>0.25875862068965516</v>
      </c>
      <c r="X44" s="127">
        <f ca="1">N44*$X$10</f>
        <v>0.52288000000000001</v>
      </c>
      <c r="Y44" s="127">
        <f>$Y$10/AD44</f>
        <v>0.6152586206896552</v>
      </c>
      <c r="Z44" s="127">
        <f ca="1">IF($G44="ManTech",(SUM($N44:$Y44)*(VLOOKUP($L44,$L$9:$AB$24,Z$6,FALSE))),(IF(R44=0,((SUM(N44,#REF!))*(VLOOKUP($L44,$L$9:$AB$24,Z$6,FALSE))),(SUM($R44:$R44)*(VLOOKUP($L44,$L$9:$AB$24,Z$6,FALSE))))))</f>
        <v>6.0678095900305768</v>
      </c>
      <c r="AA44" s="127">
        <f t="shared" ca="1" si="19"/>
        <v>72.022261655580323</v>
      </c>
      <c r="AB44" s="127">
        <f t="shared" ca="1" si="20"/>
        <v>5.7617809324464258</v>
      </c>
      <c r="AC44" s="127">
        <f t="shared" ca="1" si="21"/>
        <v>77.78</v>
      </c>
      <c r="AD44" s="104">
        <v>3480</v>
      </c>
      <c r="AE44" s="92">
        <f t="shared" ca="1" si="22"/>
        <v>270674.40000000002</v>
      </c>
      <c r="AF44" s="134">
        <f t="shared" ca="1" si="23"/>
        <v>933.36</v>
      </c>
      <c r="AG44" s="78"/>
      <c r="AH44" s="78"/>
      <c r="AI44" s="78">
        <f t="shared" ca="1" si="24"/>
        <v>250637.47056141953</v>
      </c>
      <c r="AJ44" s="78">
        <f t="shared" ca="1" si="25"/>
        <v>270674.40000000002</v>
      </c>
      <c r="AK44" s="78">
        <f t="shared" ca="1" si="26"/>
        <v>20036.929438580497</v>
      </c>
      <c r="AL44" s="94">
        <f t="shared" ca="1" si="27"/>
        <v>0.08</v>
      </c>
      <c r="AM44" s="78"/>
      <c r="AN44" s="78"/>
      <c r="AO44" s="78"/>
      <c r="AP44" s="78">
        <f t="shared" si="28"/>
        <v>2141.1</v>
      </c>
      <c r="AQ44" s="78"/>
      <c r="AR44" s="78"/>
      <c r="AS44" s="78"/>
      <c r="AT44" s="78"/>
      <c r="AU44" s="53"/>
      <c r="AV44" s="52"/>
      <c r="AW44" s="51"/>
      <c r="AZ44" s="46" t="str">
        <f t="shared" ca="1" si="29"/>
        <v>1</v>
      </c>
      <c r="BA44" s="46" t="str">
        <f t="shared" ca="1" si="30"/>
        <v>1</v>
      </c>
    </row>
    <row r="45" spans="4:53">
      <c r="D45" s="45">
        <f t="shared" si="31"/>
        <v>14</v>
      </c>
      <c r="E45" s="137" t="s">
        <v>78</v>
      </c>
      <c r="F45" s="45"/>
      <c r="G45" s="105" t="s">
        <v>99</v>
      </c>
      <c r="H45" s="45"/>
      <c r="I45" s="136">
        <v>0</v>
      </c>
      <c r="J45" s="135" t="str">
        <f t="shared" si="7"/>
        <v>ManTech140Govt</v>
      </c>
      <c r="K45" s="135"/>
      <c r="L45" s="105" t="s">
        <v>120</v>
      </c>
      <c r="M45" s="127">
        <v>26</v>
      </c>
      <c r="N45" s="127">
        <f t="shared" ca="1" si="8"/>
        <v>27.52</v>
      </c>
      <c r="O45" s="127">
        <f t="shared" ca="1" si="9"/>
        <v>9.6319999999999997</v>
      </c>
      <c r="P45" s="127">
        <f t="shared" ca="1" si="9"/>
        <v>9.6319999999999997</v>
      </c>
      <c r="Q45" s="127">
        <f t="shared" ca="1" si="10"/>
        <v>14.6153216</v>
      </c>
      <c r="R45" s="127">
        <f t="shared" ca="1" si="11"/>
        <v>1.3692048716799998</v>
      </c>
      <c r="S45" s="127">
        <f ca="1">$S$10/SUM($AD$32:$AD$46)</f>
        <v>0.27851340996168583</v>
      </c>
      <c r="T45" s="127">
        <f ca="1">$T$10/SUM($AD$32:$AD$46)</f>
        <v>7.3733333333333331E-2</v>
      </c>
      <c r="U45" s="127">
        <f>(M45*AD45)*$U$10</f>
        <v>0</v>
      </c>
      <c r="V45" s="127">
        <f>$V$10/AD45</f>
        <v>1.4367816091954022</v>
      </c>
      <c r="W45" s="127">
        <f>$W$10/AD45</f>
        <v>0.25875862068965516</v>
      </c>
      <c r="X45" s="127">
        <f ca="1">N45*$X$10</f>
        <v>0.52288000000000001</v>
      </c>
      <c r="Y45" s="127">
        <f>$Y$10/AD45</f>
        <v>0.6152586206896552</v>
      </c>
      <c r="Z45" s="127">
        <f ca="1">IF($G45="ManTech",(SUM($N45:$Y45)*(VLOOKUP($L45,$L$9:$AB$24,Z$6,FALSE))),(IF(R45=0,((SUM(N45,#REF!))*(VLOOKUP($L45,$L$9:$AB$24,Z$6,FALSE))),(SUM($R45:$R45)*(VLOOKUP($L45,$L$9:$AB$24,Z$6,FALSE))))))</f>
        <v>6.0678095900305768</v>
      </c>
      <c r="AA45" s="127">
        <f t="shared" ca="1" si="19"/>
        <v>72.022261655580323</v>
      </c>
      <c r="AB45" s="127">
        <f t="shared" ca="1" si="20"/>
        <v>5.7617809324464258</v>
      </c>
      <c r="AC45" s="127">
        <f t="shared" ca="1" si="21"/>
        <v>77.78</v>
      </c>
      <c r="AD45" s="104">
        <v>3480</v>
      </c>
      <c r="AE45" s="92">
        <f t="shared" ca="1" si="22"/>
        <v>270674.40000000002</v>
      </c>
      <c r="AF45" s="134">
        <f t="shared" ca="1" si="23"/>
        <v>933.36</v>
      </c>
      <c r="AG45" s="78"/>
      <c r="AH45" s="78"/>
      <c r="AI45" s="78">
        <f t="shared" ca="1" si="24"/>
        <v>250637.47056141953</v>
      </c>
      <c r="AJ45" s="78">
        <f t="shared" ca="1" si="25"/>
        <v>270674.40000000002</v>
      </c>
      <c r="AK45" s="78">
        <f t="shared" ca="1" si="26"/>
        <v>20036.929438580497</v>
      </c>
      <c r="AL45" s="94">
        <f t="shared" ca="1" si="27"/>
        <v>0.08</v>
      </c>
      <c r="AM45" s="78"/>
      <c r="AN45" s="78"/>
      <c r="AO45" s="78"/>
      <c r="AP45" s="78">
        <f t="shared" si="28"/>
        <v>2141.1</v>
      </c>
      <c r="AQ45" s="78"/>
      <c r="AR45" s="78"/>
      <c r="AS45" s="78"/>
      <c r="AT45" s="78"/>
      <c r="AU45" s="53"/>
      <c r="AV45" s="52"/>
      <c r="AW45" s="51"/>
      <c r="AZ45" s="46" t="str">
        <f t="shared" ca="1" si="29"/>
        <v>1</v>
      </c>
      <c r="BA45" s="46" t="str">
        <f t="shared" ca="1" si="30"/>
        <v>1</v>
      </c>
    </row>
    <row r="46" spans="4:53">
      <c r="D46" s="45">
        <f t="shared" si="31"/>
        <v>15</v>
      </c>
      <c r="E46" s="137" t="s">
        <v>79</v>
      </c>
      <c r="F46" s="45"/>
      <c r="G46" s="105" t="s">
        <v>99</v>
      </c>
      <c r="H46" s="45"/>
      <c r="I46" s="136">
        <v>0</v>
      </c>
      <c r="J46" s="135" t="str">
        <f t="shared" si="7"/>
        <v>ManTech150Govt</v>
      </c>
      <c r="K46" s="135"/>
      <c r="L46" s="105" t="s">
        <v>120</v>
      </c>
      <c r="M46" s="127">
        <v>25</v>
      </c>
      <c r="N46" s="127">
        <f t="shared" ca="1" si="8"/>
        <v>26.46</v>
      </c>
      <c r="O46" s="127">
        <f t="shared" ca="1" si="9"/>
        <v>9.2609999999999992</v>
      </c>
      <c r="P46" s="127">
        <f t="shared" ca="1" si="9"/>
        <v>9.2609999999999992</v>
      </c>
      <c r="Q46" s="127">
        <f t="shared" ca="1" si="10"/>
        <v>14.052376800000001</v>
      </c>
      <c r="R46" s="127">
        <f t="shared" ca="1" si="11"/>
        <v>1.3164666026399998</v>
      </c>
      <c r="S46" s="127">
        <f ca="1">$S$10/SUM($AD$32:$AD$46)</f>
        <v>0.27851340996168583</v>
      </c>
      <c r="T46" s="127">
        <f ca="1">$T$10/SUM($AD$32:$AD$46)</f>
        <v>7.3733333333333331E-2</v>
      </c>
      <c r="U46" s="127">
        <f>(M46*AD46)*$U$10</f>
        <v>0</v>
      </c>
      <c r="V46" s="127">
        <f>$V$10/AD46</f>
        <v>1.4367816091954022</v>
      </c>
      <c r="W46" s="127">
        <f>$W$10/AD46</f>
        <v>0.25875862068965516</v>
      </c>
      <c r="X46" s="127">
        <f ca="1">N46*$X$10</f>
        <v>0.50273999999999996</v>
      </c>
      <c r="Y46" s="127">
        <f>$Y$10/AD46</f>
        <v>0.6152586206896552</v>
      </c>
      <c r="Z46" s="127">
        <f ca="1">IF($G46="ManTech",(SUM($N46:$Y46)*(VLOOKUP($L46,$L$9:$AB$24,Z$6,FALSE))),(IF(R46=0,((SUM(N46,#REF!))*(VLOOKUP($L46,$L$9:$AB$24,Z$6,FALSE))),(SUM($R46:$R46)*(VLOOKUP($L46,$L$9:$AB$24,Z$6,FALSE))))))</f>
        <v>5.843529867678896</v>
      </c>
      <c r="AA46" s="127">
        <f t="shared" ca="1" si="19"/>
        <v>69.360158864188634</v>
      </c>
      <c r="AB46" s="127">
        <f t="shared" ca="1" si="20"/>
        <v>5.5488127091350909</v>
      </c>
      <c r="AC46" s="127">
        <f t="shared" ca="1" si="21"/>
        <v>74.91</v>
      </c>
      <c r="AD46" s="104">
        <v>3480</v>
      </c>
      <c r="AE46" s="92">
        <f t="shared" ca="1" si="22"/>
        <v>260686.8</v>
      </c>
      <c r="AF46" s="134">
        <f t="shared" ca="1" si="23"/>
        <v>898.92</v>
      </c>
      <c r="AG46" s="78"/>
      <c r="AH46" s="78"/>
      <c r="AI46" s="78">
        <f t="shared" ca="1" si="24"/>
        <v>241373.35284737643</v>
      </c>
      <c r="AJ46" s="78">
        <f t="shared" ca="1" si="25"/>
        <v>260686.8</v>
      </c>
      <c r="AK46" s="78">
        <f t="shared" ca="1" si="26"/>
        <v>19313.447152623557</v>
      </c>
      <c r="AL46" s="94">
        <f t="shared" ca="1" si="27"/>
        <v>0.08</v>
      </c>
      <c r="AM46" s="78"/>
      <c r="AN46" s="78"/>
      <c r="AO46" s="78"/>
      <c r="AP46" s="78">
        <f t="shared" si="28"/>
        <v>2141.1</v>
      </c>
      <c r="AQ46" s="78"/>
      <c r="AR46" s="78"/>
      <c r="AS46" s="78"/>
      <c r="AT46" s="78"/>
      <c r="AU46" s="53"/>
      <c r="AV46" s="52"/>
      <c r="AW46" s="51"/>
      <c r="AZ46" s="46" t="str">
        <f t="shared" ca="1" si="29"/>
        <v>1</v>
      </c>
      <c r="BA46" s="46" t="str">
        <f t="shared" ca="1" si="30"/>
        <v>1</v>
      </c>
    </row>
    <row r="47" spans="4:53">
      <c r="E47" s="137"/>
      <c r="F47" s="45"/>
      <c r="G47" s="105"/>
      <c r="H47" s="45"/>
      <c r="I47" s="136"/>
      <c r="J47" s="135"/>
      <c r="K47" s="135"/>
      <c r="L47" s="105"/>
      <c r="M47" s="127"/>
      <c r="N47" s="127"/>
      <c r="O47" s="127"/>
      <c r="P47" s="127"/>
      <c r="Q47" s="127"/>
      <c r="R47" s="127"/>
      <c r="S47" s="127"/>
      <c r="T47" s="127"/>
      <c r="U47" s="127"/>
      <c r="V47" s="127"/>
      <c r="W47" s="127"/>
      <c r="X47" s="127"/>
      <c r="Y47" s="127"/>
      <c r="Z47" s="127"/>
      <c r="AA47" s="127"/>
      <c r="AB47" s="127"/>
      <c r="AC47" s="127"/>
      <c r="AD47" s="104"/>
      <c r="AE47" s="92"/>
      <c r="AF47" s="134"/>
      <c r="AG47" s="78"/>
      <c r="AH47" s="78"/>
      <c r="AI47" s="78"/>
      <c r="AJ47" s="78"/>
      <c r="AK47" s="78"/>
      <c r="AL47" s="94"/>
      <c r="AM47" s="78"/>
      <c r="AN47" s="78"/>
      <c r="AO47" s="78"/>
      <c r="AP47" s="78"/>
      <c r="AQ47" s="78"/>
      <c r="AR47" s="78"/>
      <c r="AS47" s="78"/>
      <c r="AT47" s="78"/>
      <c r="AU47" s="53"/>
      <c r="AV47" s="52"/>
      <c r="AW47" s="51"/>
    </row>
    <row r="48" spans="4:53">
      <c r="D48" s="45">
        <v>16</v>
      </c>
      <c r="E48" s="137" t="s">
        <v>167</v>
      </c>
      <c r="F48" s="45"/>
      <c r="G48" s="105" t="s">
        <v>99</v>
      </c>
      <c r="H48" s="45"/>
      <c r="I48" s="136" t="s">
        <v>265</v>
      </c>
      <c r="J48" s="135" t="str">
        <f>G48&amp;D48&amp;I48&amp;L48</f>
        <v>ManTech16Martin,Lindy EGovt</v>
      </c>
      <c r="K48" s="135"/>
      <c r="L48" s="105" t="s">
        <v>120</v>
      </c>
      <c r="M48" s="127">
        <v>108.5</v>
      </c>
      <c r="N48" s="127">
        <f ca="1">ROUND($M48*(VLOOKUP($L48,$L$9:$AB$24,N$6,FALSE)),2)</f>
        <v>114.85</v>
      </c>
      <c r="O48" s="127">
        <v>0</v>
      </c>
      <c r="P48" s="127">
        <v>0</v>
      </c>
      <c r="Q48" s="127">
        <f ca="1">($N48+O48+P48)*(VLOOKUP($L48,$L$9:$AB$24,Q$6,FALSE))</f>
        <v>35.87914</v>
      </c>
      <c r="R48" s="127">
        <f ca="1">($N48+$Q48+O48+P48)*(VLOOKUP($L48,$L$9:$AB$24,R$6,FALSE))</f>
        <v>3.3612598220000001</v>
      </c>
      <c r="S48" s="127"/>
      <c r="T48" s="127"/>
      <c r="U48" s="127">
        <v>0</v>
      </c>
      <c r="V48" s="127">
        <v>0</v>
      </c>
      <c r="W48" s="127">
        <v>0</v>
      </c>
      <c r="X48" s="127">
        <v>0</v>
      </c>
      <c r="Y48" s="127">
        <v>0</v>
      </c>
      <c r="Z48" s="127">
        <f ca="1">IF($G48="ManTech",(SUM($N48:$Y48)*(VLOOKUP($L48,$L$9:$AB$24,Z$6,FALSE))),(IF(R48=0,((SUM(N48,#REF!))*(VLOOKUP($L48,$L$9:$AB$24,Z$6,FALSE))),(SUM($R48:$R48)*(VLOOKUP($L48,$L$9:$AB$24,Z$6,FALSE))))))</f>
        <v>14.176316783623999</v>
      </c>
      <c r="AA48" s="127">
        <f ca="1">SUM(N48:Z48)</f>
        <v>168.266716605624</v>
      </c>
      <c r="AB48" s="127">
        <f ca="1">(AA48*(VLOOKUP($L48,$L$9:$AB$24,AB$6,FALSE)))</f>
        <v>13.46133732844992</v>
      </c>
      <c r="AC48" s="127">
        <f ca="1">ROUND(SUM(AA48:AB48),2)</f>
        <v>181.73</v>
      </c>
      <c r="AD48" s="104">
        <v>80</v>
      </c>
      <c r="AE48" s="92">
        <f ca="1">$AC48*$AD48</f>
        <v>14538.4</v>
      </c>
      <c r="AF48" s="134">
        <f ca="1">AC48*$AF$29</f>
        <v>2180.7599999999998</v>
      </c>
      <c r="AG48" s="78"/>
      <c r="AH48" s="78"/>
      <c r="AI48" s="78">
        <f ca="1">AA48*AD48</f>
        <v>13461.337328449919</v>
      </c>
      <c r="AJ48" s="78">
        <f ca="1">AC48*AD48</f>
        <v>14538.4</v>
      </c>
      <c r="AK48" s="78">
        <f ca="1">AJ48-AI48</f>
        <v>1077.0626715500803</v>
      </c>
      <c r="AL48" s="94">
        <f ca="1">IF(AK48=0,0,ROUND(AK48/AI48,2))</f>
        <v>0.08</v>
      </c>
      <c r="AM48" s="78"/>
      <c r="AN48" s="78"/>
      <c r="AO48" s="78"/>
      <c r="AP48" s="78">
        <f>Y48*AD48</f>
        <v>0</v>
      </c>
      <c r="AQ48" s="78"/>
      <c r="AR48" s="78"/>
      <c r="AS48" s="78"/>
      <c r="AT48" s="78"/>
      <c r="AU48" s="53"/>
      <c r="AV48" s="52"/>
      <c r="AW48" s="51"/>
      <c r="AZ48" s="46" t="str">
        <f t="shared" ref="AZ48:AZ54" ca="1" si="32">IF((OR((AC48=""),(AC48&gt;0))),"1","0")</f>
        <v>1</v>
      </c>
      <c r="BA48" s="46" t="str">
        <f t="shared" ref="BA48:BA54" ca="1" si="33">IF((OR((AE48=""),(AE48&gt;0))),"1","0")</f>
        <v>1</v>
      </c>
    </row>
    <row r="49" spans="2:53">
      <c r="D49" s="45">
        <f>D48+1</f>
        <v>17</v>
      </c>
      <c r="E49" s="137" t="s">
        <v>168</v>
      </c>
      <c r="F49" s="45"/>
      <c r="G49" s="105" t="s">
        <v>243</v>
      </c>
      <c r="H49" s="45"/>
      <c r="I49" s="136">
        <v>0</v>
      </c>
      <c r="J49" s="135" t="str">
        <f>G49&amp;D49&amp;I49&amp;L49</f>
        <v>Yvan170Govt_Sub</v>
      </c>
      <c r="K49" s="135"/>
      <c r="L49" s="105" t="s">
        <v>119</v>
      </c>
      <c r="M49" s="127">
        <v>143.82919999999999</v>
      </c>
      <c r="N49" s="127">
        <f ca="1">ROUND($M49*(VLOOKUP($L49,$L$9:$AB$24,N$6,FALSE)),2)</f>
        <v>143.83000000000001</v>
      </c>
      <c r="O49" s="127">
        <f ca="1">$N49*(VLOOKUP($L49,$L$9:$AB$24,O$6,FALSE))</f>
        <v>0</v>
      </c>
      <c r="P49" s="127">
        <f ca="1">$N49*(VLOOKUP($L49,$L$9:$AB$24,P$6,FALSE))</f>
        <v>0</v>
      </c>
      <c r="Q49" s="127">
        <f ca="1">($N49+O49+P49)*(VLOOKUP($L49,$L$9:$AB$24,Q$6,FALSE))</f>
        <v>0</v>
      </c>
      <c r="R49" s="127">
        <f ca="1">($N49+$Q49+O49+P49)*(VLOOKUP($L49,$L$9:$AB$24,R$6,FALSE))</f>
        <v>4.2717510000000001</v>
      </c>
      <c r="S49" s="127"/>
      <c r="T49" s="127"/>
      <c r="U49" s="127">
        <v>0</v>
      </c>
      <c r="V49" s="127">
        <v>0</v>
      </c>
      <c r="W49" s="127">
        <v>0</v>
      </c>
      <c r="X49" s="127">
        <v>0</v>
      </c>
      <c r="Y49" s="127">
        <v>0</v>
      </c>
      <c r="Z49" s="127">
        <f ca="1">IF($G49="ManTech",(SUM($N49:$Y49)*(VLOOKUP($L49,$L$9:$AB$24,Z$6,FALSE))),(IF(R49=0,((SUM(N49,#REF!))*(VLOOKUP($L49,$L$9:$AB$24,Z$6,FALSE))),(SUM($R49:$R49)*(VLOOKUP($L49,$L$9:$AB$24,Z$6,FALSE))))))</f>
        <v>0.393001092</v>
      </c>
      <c r="AA49" s="127">
        <f ca="1">SUM(N49:Z49)</f>
        <v>148.494752092</v>
      </c>
      <c r="AB49" s="127">
        <f ca="1">(AA49*(VLOOKUP($L49,$L$9:$AB$24,AB$6,FALSE)))</f>
        <v>11.87958016736</v>
      </c>
      <c r="AC49" s="127">
        <f ca="1">ROUND(SUM(AA49:AB49),2)</f>
        <v>160.37</v>
      </c>
      <c r="AD49" s="104">
        <v>24</v>
      </c>
      <c r="AE49" s="92">
        <f ca="1">$AC49*$AD49</f>
        <v>3848.88</v>
      </c>
      <c r="AF49" s="134">
        <f ca="1">AC49*$AF$29</f>
        <v>1924.44</v>
      </c>
      <c r="AG49" s="78"/>
      <c r="AH49" s="78"/>
      <c r="AI49" s="78">
        <f ca="1">AA49*AD49</f>
        <v>3563.874050208</v>
      </c>
      <c r="AJ49" s="78">
        <f ca="1">AC49*AD49</f>
        <v>3848.88</v>
      </c>
      <c r="AK49" s="78">
        <f ca="1">AJ49-AI49</f>
        <v>285.00594979200014</v>
      </c>
      <c r="AL49" s="94">
        <f ca="1">IF(AK49=0,0,ROUND(AK49/AI49,2))</f>
        <v>0.08</v>
      </c>
      <c r="AM49" s="78"/>
      <c r="AN49" s="78"/>
      <c r="AO49" s="78"/>
      <c r="AP49" s="78">
        <f>Y49*AD49</f>
        <v>0</v>
      </c>
      <c r="AQ49" s="78"/>
      <c r="AR49" s="78"/>
      <c r="AS49" s="78"/>
      <c r="AT49" s="78"/>
      <c r="AU49" s="53"/>
      <c r="AV49" s="52"/>
      <c r="AW49" s="51"/>
      <c r="AZ49" s="46" t="str">
        <f t="shared" ca="1" si="32"/>
        <v>1</v>
      </c>
      <c r="BA49" s="46" t="str">
        <f t="shared" ca="1" si="33"/>
        <v>1</v>
      </c>
    </row>
    <row r="50" spans="2:53">
      <c r="E50" s="133"/>
      <c r="F50" s="49"/>
      <c r="G50" s="49"/>
      <c r="H50" s="49"/>
      <c r="I50" s="132"/>
      <c r="J50" s="131"/>
      <c r="K50" s="131"/>
      <c r="L50" s="130"/>
      <c r="M50" s="129"/>
      <c r="N50" s="129"/>
      <c r="O50" s="129"/>
      <c r="P50" s="129"/>
      <c r="Q50" s="129"/>
      <c r="R50" s="129"/>
      <c r="S50" s="129"/>
      <c r="T50" s="129"/>
      <c r="U50" s="129"/>
      <c r="V50" s="129"/>
      <c r="W50" s="129"/>
      <c r="X50" s="129"/>
      <c r="Y50" s="129"/>
      <c r="Z50" s="129"/>
      <c r="AA50" s="129"/>
      <c r="AB50" s="129"/>
      <c r="AC50" s="129"/>
      <c r="AD50" s="128"/>
      <c r="AE50" s="100"/>
      <c r="AF50" s="101"/>
      <c r="AG50" s="99"/>
      <c r="AH50" s="99"/>
      <c r="AI50" s="99"/>
      <c r="AJ50" s="99"/>
      <c r="AK50" s="99"/>
      <c r="AL50" s="99"/>
      <c r="AM50" s="99"/>
      <c r="AN50" s="99"/>
      <c r="AO50" s="99"/>
      <c r="AP50" s="99"/>
      <c r="AQ50" s="99"/>
      <c r="AR50" s="99"/>
      <c r="AS50" s="99"/>
      <c r="AT50" s="99"/>
      <c r="AU50" s="99"/>
      <c r="AV50" s="98"/>
      <c r="AW50" s="51"/>
      <c r="AZ50" s="46" t="str">
        <f t="shared" si="32"/>
        <v>1</v>
      </c>
      <c r="BA50" s="46" t="str">
        <f t="shared" si="33"/>
        <v>1</v>
      </c>
    </row>
    <row r="51" spans="2:53">
      <c r="E51" s="91"/>
      <c r="F51" s="45"/>
      <c r="G51" s="45"/>
      <c r="H51" s="45"/>
      <c r="I51" s="45"/>
      <c r="J51" s="45"/>
      <c r="K51" s="45"/>
      <c r="L51" s="45"/>
      <c r="M51" s="127"/>
      <c r="N51" s="127"/>
      <c r="O51" s="127"/>
      <c r="P51" s="127"/>
      <c r="Q51" s="127"/>
      <c r="R51" s="127"/>
      <c r="S51" s="127"/>
      <c r="T51" s="127"/>
      <c r="U51" s="127"/>
      <c r="V51" s="127"/>
      <c r="W51" s="127"/>
      <c r="X51" s="127"/>
      <c r="Y51" s="127"/>
      <c r="Z51" s="127"/>
      <c r="AA51" s="127"/>
      <c r="AB51" s="127"/>
      <c r="AC51" s="127"/>
      <c r="AD51" s="127"/>
      <c r="AE51" s="127"/>
      <c r="AF51" s="90"/>
      <c r="AG51" s="78"/>
      <c r="AH51" s="78"/>
      <c r="AI51" s="78"/>
      <c r="AJ51" s="78"/>
      <c r="AK51" s="78"/>
      <c r="AL51" s="78"/>
      <c r="AM51" s="78"/>
      <c r="AN51" s="78"/>
      <c r="AO51" s="78"/>
      <c r="AP51" s="78">
        <f>SUM(AP32:AP46)</f>
        <v>23552.099999999995</v>
      </c>
      <c r="AQ51" s="78"/>
      <c r="AR51" s="78"/>
      <c r="AS51" s="78"/>
      <c r="AT51" s="78"/>
      <c r="AU51" s="53"/>
      <c r="AV51" s="52"/>
      <c r="AW51" s="51"/>
      <c r="AZ51" s="46" t="str">
        <f t="shared" si="32"/>
        <v>1</v>
      </c>
      <c r="BA51" s="46" t="str">
        <f t="shared" si="33"/>
        <v>1</v>
      </c>
    </row>
    <row r="52" spans="2:53">
      <c r="E52" s="91"/>
      <c r="F52" s="45"/>
      <c r="G52" s="45"/>
      <c r="H52" s="45"/>
      <c r="I52" s="45"/>
      <c r="J52" s="45"/>
      <c r="K52" s="45"/>
      <c r="L52" s="45"/>
      <c r="M52" s="45"/>
      <c r="N52" s="45"/>
      <c r="O52" s="45"/>
      <c r="P52" s="45"/>
      <c r="Q52" s="45"/>
      <c r="R52" s="45"/>
      <c r="S52" s="45"/>
      <c r="T52" s="45"/>
      <c r="U52" s="45"/>
      <c r="V52" s="45"/>
      <c r="W52" s="45"/>
      <c r="X52" s="45"/>
      <c r="Y52" s="45"/>
      <c r="Z52" s="45"/>
      <c r="AA52" s="45"/>
      <c r="AB52" s="45"/>
      <c r="AC52" s="97" t="s">
        <v>118</v>
      </c>
      <c r="AD52" s="126">
        <f>SUBTOTAL(9,AD$31:AD$51)</f>
        <v>52304</v>
      </c>
      <c r="AE52" s="125">
        <f ca="1">SUBTOTAL(9,AE$31:AE$51)</f>
        <v>4312185.2799999993</v>
      </c>
      <c r="AF52" s="90"/>
      <c r="AG52" s="78"/>
      <c r="AH52" s="78"/>
      <c r="AI52" s="78"/>
      <c r="AJ52" s="78"/>
      <c r="AK52" s="78"/>
      <c r="AL52" s="78"/>
      <c r="AM52" s="78"/>
      <c r="AN52" s="78"/>
      <c r="AO52" s="78"/>
      <c r="AP52" s="78"/>
      <c r="AQ52" s="78"/>
      <c r="AR52" s="78"/>
      <c r="AS52" s="78"/>
      <c r="AT52" s="78"/>
      <c r="AU52" s="53"/>
      <c r="AV52" s="52"/>
      <c r="AW52" s="51"/>
      <c r="AZ52" s="46" t="str">
        <f t="shared" si="32"/>
        <v>1</v>
      </c>
      <c r="BA52" s="46" t="str">
        <f t="shared" ca="1" si="33"/>
        <v>1</v>
      </c>
    </row>
    <row r="53" spans="2:53" ht="13.5" thickBot="1">
      <c r="B53" s="45" t="s">
        <v>117</v>
      </c>
      <c r="E53" s="91"/>
      <c r="F53" s="45"/>
      <c r="G53" s="45"/>
      <c r="H53" s="45"/>
      <c r="I53" s="45"/>
      <c r="J53" s="45"/>
      <c r="K53" s="45"/>
      <c r="L53" s="45"/>
      <c r="M53" s="45"/>
      <c r="N53" s="45"/>
      <c r="O53" s="45"/>
      <c r="P53" s="45"/>
      <c r="Q53" s="45"/>
      <c r="R53" s="45"/>
      <c r="S53" s="45"/>
      <c r="T53" s="45"/>
      <c r="U53" s="45"/>
      <c r="V53" s="45"/>
      <c r="W53" s="45"/>
      <c r="X53" s="45"/>
      <c r="Y53" s="45"/>
      <c r="Z53" s="45"/>
      <c r="AA53" s="45"/>
      <c r="AB53" s="45"/>
      <c r="AC53" s="97"/>
      <c r="AD53" s="124"/>
      <c r="AE53" s="53"/>
      <c r="AF53" s="90"/>
      <c r="AR53" s="89"/>
      <c r="AS53" s="88"/>
      <c r="AZ53" s="46" t="str">
        <f t="shared" si="32"/>
        <v>1</v>
      </c>
      <c r="BA53" s="46" t="str">
        <f t="shared" si="33"/>
        <v>1</v>
      </c>
    </row>
    <row r="54" spans="2:53" s="114" customFormat="1" ht="16.5" thickBot="1">
      <c r="B54" s="123">
        <v>1.4735</v>
      </c>
      <c r="E54" s="122" t="s">
        <v>116</v>
      </c>
      <c r="F54" s="119"/>
      <c r="G54" s="119"/>
      <c r="H54" s="121"/>
      <c r="I54" s="119"/>
      <c r="J54" s="120"/>
      <c r="K54" s="120"/>
      <c r="L54" s="119"/>
      <c r="M54" s="118"/>
      <c r="N54" s="118"/>
      <c r="O54" s="118"/>
      <c r="P54" s="118"/>
      <c r="Q54" s="118"/>
      <c r="R54" s="118"/>
      <c r="S54" s="118"/>
      <c r="T54" s="118"/>
      <c r="U54" s="118"/>
      <c r="V54" s="118"/>
      <c r="W54" s="118"/>
      <c r="X54" s="118"/>
      <c r="Y54" s="118"/>
      <c r="Z54" s="118"/>
      <c r="AA54" s="118"/>
      <c r="AB54" s="118"/>
      <c r="AC54" s="118"/>
      <c r="AD54" s="118"/>
      <c r="AE54" s="118"/>
      <c r="AF54" s="117"/>
      <c r="AG54" s="116"/>
      <c r="AH54" s="116"/>
      <c r="AI54" s="116"/>
      <c r="AJ54" s="116"/>
      <c r="AK54" s="116"/>
      <c r="AL54" s="116"/>
      <c r="AM54" s="116"/>
      <c r="AN54" s="116"/>
      <c r="AO54" s="116"/>
      <c r="AP54" s="116"/>
      <c r="AQ54" s="116"/>
      <c r="AR54" s="116"/>
      <c r="AS54" s="116"/>
      <c r="AT54" s="116"/>
      <c r="AU54" s="116"/>
      <c r="AV54" s="116"/>
      <c r="AW54" s="115"/>
      <c r="AZ54" s="46" t="str">
        <f t="shared" si="32"/>
        <v>1</v>
      </c>
      <c r="BA54" s="46" t="str">
        <f t="shared" si="33"/>
        <v>1</v>
      </c>
    </row>
    <row r="55" spans="2:53" ht="15.75">
      <c r="E55" s="113" t="s">
        <v>115</v>
      </c>
      <c r="F55" s="110"/>
      <c r="G55" s="110"/>
      <c r="H55" s="112"/>
      <c r="I55" s="110"/>
      <c r="J55" s="111"/>
      <c r="K55" s="111"/>
      <c r="L55" s="110"/>
      <c r="M55" s="109"/>
      <c r="N55" s="109"/>
      <c r="O55" s="109"/>
      <c r="P55" s="109"/>
      <c r="Q55" s="109"/>
      <c r="R55" s="109"/>
      <c r="S55" s="109"/>
      <c r="T55" s="109"/>
      <c r="U55" s="109"/>
      <c r="V55" s="109"/>
      <c r="W55" s="109"/>
      <c r="X55" s="109"/>
      <c r="Y55" s="109"/>
      <c r="Z55" s="109"/>
      <c r="AA55" s="109"/>
      <c r="AB55" s="109"/>
      <c r="AC55" s="109"/>
      <c r="AD55" s="109"/>
      <c r="AE55" s="109"/>
      <c r="AF55" s="108"/>
      <c r="AG55" s="93"/>
      <c r="AH55" s="93"/>
      <c r="AI55" s="78"/>
      <c r="AJ55" s="78"/>
      <c r="AK55" s="78"/>
      <c r="AL55" s="94"/>
      <c r="AM55" s="93"/>
      <c r="AN55" s="93"/>
      <c r="AO55" s="93"/>
      <c r="AP55" s="93"/>
      <c r="AQ55" s="93"/>
      <c r="AR55" s="78"/>
      <c r="AS55" s="93"/>
      <c r="AT55" s="78"/>
      <c r="AU55" s="53"/>
      <c r="AV55" s="52"/>
      <c r="AW55" s="51"/>
    </row>
    <row r="56" spans="2:53">
      <c r="E56" s="106" t="s">
        <v>114</v>
      </c>
      <c r="F56" s="45"/>
      <c r="G56" s="45"/>
      <c r="H56" s="45"/>
      <c r="I56" s="45"/>
      <c r="J56" s="45"/>
      <c r="K56" s="45"/>
      <c r="L56" s="105" t="s">
        <v>110</v>
      </c>
      <c r="M56" s="92">
        <v>499.95</v>
      </c>
      <c r="N56" s="92">
        <f ca="1">ROUND($M56*(VLOOKUP($L56,$L$9:$AB$24,N$6,FALSE)),2)</f>
        <v>499.95</v>
      </c>
      <c r="O56" s="92">
        <f t="shared" ref="O56:Q59" ca="1" si="34">ROUND($N56*(VLOOKUP($L56,$L$9:$AB$24,O$6,FALSE)),2)</f>
        <v>0</v>
      </c>
      <c r="P56" s="92">
        <f t="shared" ca="1" si="34"/>
        <v>0</v>
      </c>
      <c r="Q56" s="92">
        <f t="shared" ca="1" si="34"/>
        <v>0</v>
      </c>
      <c r="R56" s="92">
        <f ca="1">ROUND(($N56+$Q56)*(VLOOKUP($L56,$L$9:$AB$24,R$6,FALSE)),2)</f>
        <v>0</v>
      </c>
      <c r="S56" s="92"/>
      <c r="T56" s="92"/>
      <c r="U56" s="92">
        <f t="shared" ref="U56:Y59" ca="1" si="35">ROUND($N56*(VLOOKUP($L56,$L$9:$AB$24,U$6,FALSE)),2)</f>
        <v>0</v>
      </c>
      <c r="V56" s="92">
        <f t="shared" ca="1" si="35"/>
        <v>0</v>
      </c>
      <c r="W56" s="92">
        <f t="shared" ca="1" si="35"/>
        <v>0</v>
      </c>
      <c r="X56" s="92">
        <f t="shared" ca="1" si="35"/>
        <v>0</v>
      </c>
      <c r="Y56" s="92">
        <f t="shared" ca="1" si="35"/>
        <v>0</v>
      </c>
      <c r="Z56" s="92">
        <f ca="1">IF($R56=0,ROUND(SUM($N56:$R56)*(VLOOKUP($L56,$L$9:$AB$24,Z$6,FALSE)),2),ROUND(SUM($R56:$R56)*(VLOOKUP($L56,$L$9:$AB$24,Z$6,FALSE)),2))</f>
        <v>46</v>
      </c>
      <c r="AA56" s="92">
        <f ca="1">SUM(N56:Z56)</f>
        <v>545.95000000000005</v>
      </c>
      <c r="AB56" s="92">
        <f ca="1">ROUND(AA56*(VLOOKUP($L56,$L$9:$AB$24,AB$6,FALSE)),2)</f>
        <v>43.68</v>
      </c>
      <c r="AC56" s="92">
        <f ca="1">SUM(AA56:AB56)</f>
        <v>589.63</v>
      </c>
      <c r="AD56" s="104">
        <v>1</v>
      </c>
      <c r="AE56" s="92">
        <f ca="1">$AC56*$AD56</f>
        <v>589.63</v>
      </c>
      <c r="AF56" s="90"/>
      <c r="AG56" s="93"/>
      <c r="AH56" s="93"/>
      <c r="AI56" s="78">
        <f ca="1">AA56*AD56</f>
        <v>545.95000000000005</v>
      </c>
      <c r="AJ56" s="78">
        <f ca="1">AC56*AD56</f>
        <v>589.63</v>
      </c>
      <c r="AK56" s="78">
        <f ca="1">AJ56-AI56</f>
        <v>43.67999999999995</v>
      </c>
      <c r="AL56" s="94">
        <f ca="1">IF(AK56=0,0,ROUND(AK56/AI56,2))</f>
        <v>0.08</v>
      </c>
      <c r="AM56" s="93"/>
      <c r="AN56" s="93"/>
      <c r="AO56" s="93"/>
      <c r="AP56" s="93"/>
      <c r="AQ56" s="93"/>
      <c r="AR56" s="78"/>
      <c r="AS56" s="93"/>
      <c r="AT56" s="78"/>
      <c r="AU56" s="53"/>
      <c r="AV56" s="52"/>
      <c r="AW56" s="51"/>
      <c r="AZ56" s="46" t="str">
        <f ca="1">IF((OR((AC56=""),(AC56&gt;0))),"1","0")</f>
        <v>1</v>
      </c>
      <c r="BA56" s="46" t="str">
        <f ca="1">IF((OR((AE56=""),(AE56&gt;0))),"1","0")</f>
        <v>1</v>
      </c>
    </row>
    <row r="57" spans="2:53">
      <c r="E57" s="106" t="s">
        <v>113</v>
      </c>
      <c r="F57" s="45"/>
      <c r="G57" s="45"/>
      <c r="H57" s="45"/>
      <c r="I57" s="45"/>
      <c r="J57" s="45"/>
      <c r="K57" s="45"/>
      <c r="L57" s="105" t="s">
        <v>110</v>
      </c>
      <c r="M57" s="92">
        <v>359</v>
      </c>
      <c r="N57" s="92">
        <f ca="1">ROUND($M57*(VLOOKUP($L57,$L$9:$AB$24,N$6,FALSE)),2)</f>
        <v>359</v>
      </c>
      <c r="O57" s="92">
        <f t="shared" ca="1" si="34"/>
        <v>0</v>
      </c>
      <c r="P57" s="92">
        <f t="shared" ca="1" si="34"/>
        <v>0</v>
      </c>
      <c r="Q57" s="92">
        <f t="shared" ca="1" si="34"/>
        <v>0</v>
      </c>
      <c r="R57" s="92">
        <f ca="1">ROUND(($N57+$Q57)*(VLOOKUP($L57,$L$9:$AB$24,R$6,FALSE)),2)</f>
        <v>0</v>
      </c>
      <c r="S57" s="92"/>
      <c r="T57" s="92"/>
      <c r="U57" s="92">
        <f t="shared" ca="1" si="35"/>
        <v>0</v>
      </c>
      <c r="V57" s="92">
        <f t="shared" ca="1" si="35"/>
        <v>0</v>
      </c>
      <c r="W57" s="92">
        <f t="shared" ca="1" si="35"/>
        <v>0</v>
      </c>
      <c r="X57" s="92">
        <f t="shared" ca="1" si="35"/>
        <v>0</v>
      </c>
      <c r="Y57" s="92">
        <f t="shared" ca="1" si="35"/>
        <v>0</v>
      </c>
      <c r="Z57" s="92">
        <f ca="1">IF($R57=0,ROUND(SUM($N57:$R57)*(VLOOKUP($L57,$L$9:$AB$24,Z$6,FALSE)),2),ROUND(SUM($R57:$R57)*(VLOOKUP($L57,$L$9:$AB$24,Z$6,FALSE)),2))</f>
        <v>33.03</v>
      </c>
      <c r="AA57" s="92">
        <f ca="1">SUM(N57:Z57)</f>
        <v>392.03</v>
      </c>
      <c r="AB57" s="92">
        <f ca="1">ROUND(AA57*(VLOOKUP($L57,$L$9:$AB$24,AB$6,FALSE)),2)</f>
        <v>31.36</v>
      </c>
      <c r="AC57" s="92">
        <f ca="1">SUM(AA57:AB57)</f>
        <v>423.39</v>
      </c>
      <c r="AD57" s="104">
        <v>1</v>
      </c>
      <c r="AE57" s="92">
        <f ca="1">$AC57*$AD57</f>
        <v>423.39</v>
      </c>
      <c r="AF57" s="90"/>
      <c r="AG57" s="93"/>
      <c r="AH57" s="93"/>
      <c r="AI57" s="78">
        <f ca="1">AA57*AD57</f>
        <v>392.03</v>
      </c>
      <c r="AJ57" s="78">
        <f ca="1">AC57*AD57</f>
        <v>423.39</v>
      </c>
      <c r="AK57" s="78">
        <f ca="1">AJ57-AI57</f>
        <v>31.360000000000014</v>
      </c>
      <c r="AL57" s="94">
        <f ca="1">IF(AK57=0,0,ROUND(AK57/AI57,2))</f>
        <v>0.08</v>
      </c>
      <c r="AM57" s="93"/>
      <c r="AN57" s="93"/>
      <c r="AO57" s="93"/>
      <c r="AP57" s="93"/>
      <c r="AQ57" s="93"/>
      <c r="AR57" s="78"/>
      <c r="AS57" s="93"/>
      <c r="AT57" s="78"/>
      <c r="AU57" s="53"/>
      <c r="AV57" s="52"/>
      <c r="AW57" s="51"/>
      <c r="AZ57" s="46" t="str">
        <f ca="1">IF((OR((AC57=""),(AC57&gt;0))),"1","0")</f>
        <v>1</v>
      </c>
      <c r="BA57" s="46" t="str">
        <f ca="1">IF((OR((AE57=""),(AE57&gt;0))),"1","0")</f>
        <v>1</v>
      </c>
    </row>
    <row r="58" spans="2:53">
      <c r="E58" s="106" t="s">
        <v>112</v>
      </c>
      <c r="F58" s="45"/>
      <c r="G58" s="45"/>
      <c r="H58" s="45"/>
      <c r="I58" s="45"/>
      <c r="J58" s="45"/>
      <c r="K58" s="45"/>
      <c r="L58" s="105" t="s">
        <v>110</v>
      </c>
      <c r="M58" s="92">
        <v>199.95</v>
      </c>
      <c r="N58" s="92">
        <f ca="1">ROUND($M58*(VLOOKUP($L58,$L$9:$AB$24,N$6,FALSE)),2)</f>
        <v>199.95</v>
      </c>
      <c r="O58" s="92">
        <f t="shared" ca="1" si="34"/>
        <v>0</v>
      </c>
      <c r="P58" s="92">
        <f t="shared" ca="1" si="34"/>
        <v>0</v>
      </c>
      <c r="Q58" s="92">
        <f t="shared" ca="1" si="34"/>
        <v>0</v>
      </c>
      <c r="R58" s="92">
        <f ca="1">ROUND(($N58+$Q58)*(VLOOKUP($L58,$L$9:$AB$24,R$6,FALSE)),2)</f>
        <v>0</v>
      </c>
      <c r="S58" s="92"/>
      <c r="T58" s="92"/>
      <c r="U58" s="92">
        <f t="shared" ca="1" si="35"/>
        <v>0</v>
      </c>
      <c r="V58" s="92">
        <f t="shared" ca="1" si="35"/>
        <v>0</v>
      </c>
      <c r="W58" s="92">
        <f t="shared" ca="1" si="35"/>
        <v>0</v>
      </c>
      <c r="X58" s="92">
        <f t="shared" ca="1" si="35"/>
        <v>0</v>
      </c>
      <c r="Y58" s="92">
        <f t="shared" ca="1" si="35"/>
        <v>0</v>
      </c>
      <c r="Z58" s="92">
        <f ca="1">IF($R58=0,ROUND(SUM($N58:$R58)*(VLOOKUP($L58,$L$9:$AB$24,Z$6,FALSE)),2),ROUND(SUM($R58:$R58)*(VLOOKUP($L58,$L$9:$AB$24,Z$6,FALSE)),2))</f>
        <v>18.399999999999999</v>
      </c>
      <c r="AA58" s="92">
        <f ca="1">SUM(N58:Z58)</f>
        <v>218.35</v>
      </c>
      <c r="AB58" s="92">
        <f ca="1">ROUND(AA58*(VLOOKUP($L58,$L$9:$AB$24,AB$6,FALSE)),2)</f>
        <v>17.47</v>
      </c>
      <c r="AC58" s="92">
        <f ca="1">SUM(AA58:AB58)</f>
        <v>235.82</v>
      </c>
      <c r="AD58" s="104">
        <v>1</v>
      </c>
      <c r="AE58" s="92">
        <f ca="1">$AC58*$AD58</f>
        <v>235.82</v>
      </c>
      <c r="AF58" s="90"/>
      <c r="AG58" s="93"/>
      <c r="AH58" s="93"/>
      <c r="AI58" s="78">
        <f ca="1">AA58*AD58</f>
        <v>218.35</v>
      </c>
      <c r="AJ58" s="78">
        <f ca="1">AC58*AD58</f>
        <v>235.82</v>
      </c>
      <c r="AK58" s="78">
        <f ca="1">AJ58-AI58</f>
        <v>17.47</v>
      </c>
      <c r="AL58" s="94">
        <f ca="1">IF(AK58=0,0,ROUND(AK58/AI58,2))</f>
        <v>0.08</v>
      </c>
      <c r="AM58" s="93"/>
      <c r="AN58" s="93"/>
      <c r="AO58" s="93"/>
      <c r="AP58" s="93"/>
      <c r="AQ58" s="93"/>
      <c r="AR58" s="78"/>
      <c r="AS58" s="93"/>
      <c r="AT58" s="78"/>
      <c r="AU58" s="53"/>
      <c r="AV58" s="52"/>
      <c r="AW58" s="51"/>
    </row>
    <row r="59" spans="2:53">
      <c r="E59" s="106" t="s">
        <v>111</v>
      </c>
      <c r="F59" s="45"/>
      <c r="G59" s="45"/>
      <c r="H59" s="45"/>
      <c r="I59" s="45"/>
      <c r="J59" s="45"/>
      <c r="K59" s="45"/>
      <c r="L59" s="105" t="s">
        <v>110</v>
      </c>
      <c r="M59" s="107">
        <v>300</v>
      </c>
      <c r="N59" s="92">
        <f ca="1">ROUND($M59*(VLOOKUP($L59,$L$9:$AB$24,N$6,FALSE)),2)</f>
        <v>300</v>
      </c>
      <c r="O59" s="92">
        <f t="shared" ca="1" si="34"/>
        <v>0</v>
      </c>
      <c r="P59" s="92">
        <f t="shared" ca="1" si="34"/>
        <v>0</v>
      </c>
      <c r="Q59" s="92">
        <f t="shared" ca="1" si="34"/>
        <v>0</v>
      </c>
      <c r="R59" s="92">
        <f ca="1">ROUND(($N59+$Q59)*(VLOOKUP($L59,$L$9:$AB$24,R$6,FALSE)),2)</f>
        <v>0</v>
      </c>
      <c r="S59" s="92"/>
      <c r="T59" s="92"/>
      <c r="U59" s="92">
        <f t="shared" ca="1" si="35"/>
        <v>0</v>
      </c>
      <c r="V59" s="92">
        <f t="shared" ca="1" si="35"/>
        <v>0</v>
      </c>
      <c r="W59" s="92">
        <f t="shared" ca="1" si="35"/>
        <v>0</v>
      </c>
      <c r="X59" s="92">
        <f t="shared" ca="1" si="35"/>
        <v>0</v>
      </c>
      <c r="Y59" s="92">
        <f t="shared" ca="1" si="35"/>
        <v>0</v>
      </c>
      <c r="Z59" s="92">
        <f ca="1">IF($R59=0,ROUND(SUM($N59:$R59)*(VLOOKUP($L59,$L$9:$AB$24,Z$6,FALSE)),2),ROUND(SUM($R59:$R59)*(VLOOKUP($L59,$L$9:$AB$24,Z$6,FALSE)),2))</f>
        <v>27.6</v>
      </c>
      <c r="AA59" s="92">
        <f ca="1">SUM(N59:Z59)</f>
        <v>327.60000000000002</v>
      </c>
      <c r="AB59" s="92">
        <f ca="1">ROUND(AA59*(VLOOKUP($L59,$L$9:$AB$24,AB$6,FALSE)),2)</f>
        <v>26.21</v>
      </c>
      <c r="AC59" s="92">
        <f ca="1">SUM(AA59:AB59)</f>
        <v>353.81</v>
      </c>
      <c r="AD59" s="104">
        <v>1</v>
      </c>
      <c r="AE59" s="92">
        <f ca="1">$AC59*$AD59</f>
        <v>353.81</v>
      </c>
      <c r="AF59" s="90"/>
      <c r="AG59" s="93"/>
      <c r="AH59" s="93"/>
      <c r="AI59" s="78"/>
      <c r="AJ59" s="78"/>
      <c r="AK59" s="78"/>
      <c r="AL59" s="94"/>
      <c r="AM59" s="93"/>
      <c r="AN59" s="93"/>
      <c r="AO59" s="93"/>
      <c r="AP59" s="93"/>
      <c r="AQ59" s="93"/>
      <c r="AR59" s="78"/>
      <c r="AS59" s="93"/>
      <c r="AT59" s="78"/>
      <c r="AU59" s="53"/>
      <c r="AV59" s="52"/>
      <c r="AW59" s="51"/>
    </row>
    <row r="60" spans="2:53">
      <c r="E60" s="106"/>
      <c r="F60" s="45"/>
      <c r="G60" s="45"/>
      <c r="H60" s="45"/>
      <c r="I60" s="45"/>
      <c r="J60" s="45"/>
      <c r="K60" s="45"/>
      <c r="L60" s="105"/>
      <c r="M60" s="92"/>
      <c r="N60" s="92"/>
      <c r="O60" s="92"/>
      <c r="P60" s="92"/>
      <c r="Q60" s="92"/>
      <c r="R60" s="92"/>
      <c r="S60" s="92"/>
      <c r="T60" s="92"/>
      <c r="U60" s="92"/>
      <c r="V60" s="92"/>
      <c r="W60" s="92"/>
      <c r="X60" s="92"/>
      <c r="Y60" s="92"/>
      <c r="Z60" s="92"/>
      <c r="AA60" s="92"/>
      <c r="AB60" s="92"/>
      <c r="AC60" s="92" t="s">
        <v>109</v>
      </c>
      <c r="AD60" s="104"/>
      <c r="AE60" s="92">
        <f ca="1">SUBTOTAL(9,AE56:AE59)</f>
        <v>1602.6499999999999</v>
      </c>
      <c r="AF60" s="90"/>
      <c r="AG60" s="93"/>
      <c r="AH60" s="93"/>
      <c r="AI60" s="78"/>
      <c r="AJ60" s="78"/>
      <c r="AK60" s="78"/>
      <c r="AL60" s="94"/>
      <c r="AM60" s="93"/>
      <c r="AN60" s="93"/>
      <c r="AO60" s="93"/>
      <c r="AP60" s="93"/>
      <c r="AQ60" s="93"/>
      <c r="AR60" s="78"/>
      <c r="AS60" s="93"/>
      <c r="AT60" s="78"/>
      <c r="AU60" s="53"/>
      <c r="AV60" s="52"/>
      <c r="AW60" s="51"/>
    </row>
    <row r="61" spans="2:53">
      <c r="E61" s="103"/>
      <c r="F61" s="49"/>
      <c r="G61" s="49"/>
      <c r="H61" s="49"/>
      <c r="I61" s="49"/>
      <c r="J61" s="49"/>
      <c r="K61" s="49"/>
      <c r="L61" s="49"/>
      <c r="M61" s="100"/>
      <c r="N61" s="100"/>
      <c r="O61" s="100"/>
      <c r="P61" s="100"/>
      <c r="Q61" s="100"/>
      <c r="R61" s="100"/>
      <c r="S61" s="100"/>
      <c r="T61" s="100"/>
      <c r="U61" s="100"/>
      <c r="V61" s="100"/>
      <c r="W61" s="100"/>
      <c r="X61" s="100"/>
      <c r="Y61" s="100"/>
      <c r="Z61" s="100"/>
      <c r="AA61" s="100"/>
      <c r="AB61" s="100"/>
      <c r="AC61" s="100"/>
      <c r="AD61" s="102"/>
      <c r="AE61" s="100"/>
      <c r="AF61" s="101"/>
      <c r="AG61" s="100"/>
      <c r="AH61" s="100"/>
      <c r="AI61" s="100"/>
      <c r="AJ61" s="100"/>
      <c r="AK61" s="100"/>
      <c r="AL61" s="100"/>
      <c r="AM61" s="100"/>
      <c r="AN61" s="100"/>
      <c r="AO61" s="100"/>
      <c r="AP61" s="100"/>
      <c r="AQ61" s="100"/>
      <c r="AR61" s="99"/>
      <c r="AS61" s="100"/>
      <c r="AT61" s="99"/>
      <c r="AU61" s="99"/>
      <c r="AV61" s="98"/>
      <c r="AW61" s="51"/>
      <c r="AZ61" s="46" t="str">
        <f t="shared" ref="AZ61:AZ92" si="36">IF((OR((AC61=""),(AC61&gt;0))),"1","0")</f>
        <v>1</v>
      </c>
      <c r="BA61" s="46" t="str">
        <f t="shared" ref="BA61:BA92" si="37">IF((OR((AE61=""),(AE61&gt;0))),"1","0")</f>
        <v>1</v>
      </c>
    </row>
    <row r="62" spans="2:53">
      <c r="E62" s="91"/>
      <c r="F62" s="45"/>
      <c r="G62" s="45"/>
      <c r="H62" s="45"/>
      <c r="I62" s="45"/>
      <c r="J62" s="45"/>
      <c r="K62" s="45"/>
      <c r="L62" s="45"/>
      <c r="M62" s="45"/>
      <c r="N62" s="45"/>
      <c r="O62" s="45"/>
      <c r="P62" s="45"/>
      <c r="Q62" s="45"/>
      <c r="R62" s="45"/>
      <c r="S62" s="45"/>
      <c r="T62" s="45"/>
      <c r="U62" s="45"/>
      <c r="V62" s="45"/>
      <c r="W62" s="45"/>
      <c r="X62" s="45"/>
      <c r="Y62" s="45"/>
      <c r="Z62" s="45"/>
      <c r="AA62" s="45"/>
      <c r="AB62" s="45"/>
      <c r="AC62" s="45"/>
      <c r="AD62" s="45"/>
      <c r="AE62" s="92"/>
      <c r="AF62" s="90"/>
      <c r="AZ62" s="46" t="str">
        <f t="shared" si="36"/>
        <v>1</v>
      </c>
      <c r="BA62" s="46" t="str">
        <f t="shared" si="37"/>
        <v>1</v>
      </c>
    </row>
    <row r="63" spans="2:53">
      <c r="E63" s="91"/>
      <c r="F63" s="45"/>
      <c r="G63" s="45"/>
      <c r="H63" s="45"/>
      <c r="I63" s="45"/>
      <c r="J63" s="45"/>
      <c r="K63" s="45"/>
      <c r="L63" s="45"/>
      <c r="M63" s="45"/>
      <c r="N63" s="45"/>
      <c r="O63" s="45"/>
      <c r="P63" s="45"/>
      <c r="Q63" s="45"/>
      <c r="R63" s="45"/>
      <c r="S63" s="45"/>
      <c r="T63" s="45"/>
      <c r="U63" s="45"/>
      <c r="V63" s="45"/>
      <c r="W63" s="45"/>
      <c r="X63" s="45"/>
      <c r="Y63" s="45"/>
      <c r="Z63" s="45"/>
      <c r="AA63" s="45"/>
      <c r="AB63" s="45"/>
      <c r="AC63" s="97" t="s">
        <v>108</v>
      </c>
      <c r="AD63" s="96"/>
      <c r="AE63" s="95">
        <f ca="1">SUBTOTAL(9,AE$54:AE$62)</f>
        <v>1602.6499999999999</v>
      </c>
      <c r="AF63" s="90"/>
      <c r="AG63" s="93"/>
      <c r="AH63" s="93"/>
      <c r="AI63" s="93">
        <f ca="1">SUM(AI32:AI58)</f>
        <v>3993866.7431565924</v>
      </c>
      <c r="AJ63" s="93">
        <f ca="1">SUM(AJ32:AJ58)</f>
        <v>4313434.1199999992</v>
      </c>
      <c r="AK63" s="93">
        <f ca="1">SUM(AK32:AK58)</f>
        <v>319567.37684340851</v>
      </c>
      <c r="AL63" s="94">
        <f ca="1">IF(AK63=0,0,ROUND(AK63/AI63,2))</f>
        <v>0.08</v>
      </c>
      <c r="AM63" s="93"/>
      <c r="AN63" s="93"/>
      <c r="AO63" s="93"/>
      <c r="AP63" s="93"/>
      <c r="AQ63" s="93"/>
      <c r="AR63" s="93"/>
      <c r="AS63" s="93"/>
      <c r="AT63" s="93"/>
      <c r="AU63" s="92"/>
      <c r="AV63" s="52"/>
      <c r="AW63" s="51"/>
      <c r="AZ63" s="46" t="str">
        <f t="shared" si="36"/>
        <v>1</v>
      </c>
      <c r="BA63" s="46" t="str">
        <f t="shared" ca="1" si="37"/>
        <v>1</v>
      </c>
    </row>
    <row r="64" spans="2:53">
      <c r="E64" s="91"/>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90"/>
      <c r="AR64" s="89"/>
      <c r="AS64" s="88"/>
      <c r="AZ64" s="46" t="str">
        <f t="shared" si="36"/>
        <v>1</v>
      </c>
      <c r="BA64" s="46" t="str">
        <f t="shared" si="37"/>
        <v>1</v>
      </c>
    </row>
    <row r="65" spans="5:53">
      <c r="E65" s="87"/>
      <c r="F65" s="85"/>
      <c r="G65" s="85"/>
      <c r="H65" s="85"/>
      <c r="I65" s="85"/>
      <c r="J65" s="85"/>
      <c r="K65" s="85"/>
      <c r="L65" s="85"/>
      <c r="M65" s="85"/>
      <c r="N65" s="85"/>
      <c r="O65" s="85"/>
      <c r="P65" s="85"/>
      <c r="Q65" s="85"/>
      <c r="R65" s="85"/>
      <c r="S65" s="85"/>
      <c r="T65" s="85"/>
      <c r="U65" s="85"/>
      <c r="V65" s="85"/>
      <c r="W65" s="85"/>
      <c r="X65" s="85"/>
      <c r="Y65" s="85"/>
      <c r="Z65" s="85"/>
      <c r="AA65" s="85"/>
      <c r="AB65" s="85"/>
      <c r="AC65" s="85"/>
      <c r="AD65" s="85"/>
      <c r="AE65" s="85"/>
      <c r="AF65" s="86"/>
      <c r="AG65" s="85"/>
      <c r="AH65" s="85"/>
      <c r="AI65" s="85"/>
      <c r="AJ65" s="85"/>
      <c r="AK65" s="85"/>
      <c r="AL65" s="85"/>
      <c r="AM65" s="85"/>
      <c r="AN65" s="85"/>
      <c r="AO65" s="85"/>
      <c r="AP65" s="85"/>
      <c r="AQ65" s="85"/>
      <c r="AR65" s="85"/>
      <c r="AS65" s="85"/>
      <c r="AT65" s="85"/>
      <c r="AV65" s="85"/>
      <c r="AZ65" s="46" t="str">
        <f t="shared" si="36"/>
        <v>1</v>
      </c>
      <c r="BA65" s="46" t="str">
        <f t="shared" si="37"/>
        <v>1</v>
      </c>
    </row>
    <row r="66" spans="5:53" ht="13.5" thickBot="1">
      <c r="E66" s="84"/>
      <c r="F66" s="83"/>
      <c r="G66" s="83"/>
      <c r="H66" s="83"/>
      <c r="I66" s="83"/>
      <c r="J66" s="83"/>
      <c r="K66" s="83"/>
      <c r="L66" s="83"/>
      <c r="M66" s="83"/>
      <c r="N66" s="83"/>
      <c r="O66" s="83"/>
      <c r="P66" s="83"/>
      <c r="Q66" s="83"/>
      <c r="R66" s="83"/>
      <c r="S66" s="83"/>
      <c r="T66" s="83"/>
      <c r="U66" s="83"/>
      <c r="V66" s="83"/>
      <c r="W66" s="83"/>
      <c r="X66" s="83"/>
      <c r="Y66" s="83"/>
      <c r="Z66" s="83"/>
      <c r="AA66" s="83"/>
      <c r="AB66" s="83"/>
      <c r="AC66" s="82" t="s">
        <v>107</v>
      </c>
      <c r="AD66" s="81">
        <f>AD52</f>
        <v>52304</v>
      </c>
      <c r="AE66" s="80">
        <f ca="1">SUBTOTAL(9,AE$31:AE$65)</f>
        <v>4313787.9299999988</v>
      </c>
      <c r="AF66" s="79"/>
      <c r="AG66" s="78"/>
      <c r="AH66" s="78"/>
      <c r="AI66" s="78"/>
      <c r="AJ66" s="78"/>
      <c r="AK66" s="78"/>
      <c r="AL66" s="78"/>
      <c r="AM66" s="78"/>
      <c r="AN66" s="78"/>
      <c r="AO66" s="78"/>
      <c r="AP66" s="78"/>
      <c r="AQ66" s="78"/>
      <c r="AR66" s="78"/>
      <c r="AS66" s="78"/>
      <c r="AT66" s="78"/>
      <c r="AU66" s="53"/>
      <c r="AV66" s="52"/>
      <c r="AW66" s="51"/>
      <c r="AZ66" s="46" t="str">
        <f t="shared" si="36"/>
        <v>1</v>
      </c>
      <c r="BA66" s="46" t="str">
        <f t="shared" ca="1" si="37"/>
        <v>1</v>
      </c>
    </row>
    <row r="67" spans="5:53">
      <c r="AR67" s="77"/>
      <c r="AS67" s="76"/>
      <c r="AZ67" s="46" t="str">
        <f t="shared" si="36"/>
        <v>1</v>
      </c>
      <c r="BA67" s="46" t="str">
        <f t="shared" si="37"/>
        <v>1</v>
      </c>
    </row>
    <row r="68" spans="5:53">
      <c r="AZ68" s="46" t="str">
        <f t="shared" si="36"/>
        <v>1</v>
      </c>
      <c r="BA68" s="46" t="str">
        <f t="shared" si="37"/>
        <v>1</v>
      </c>
    </row>
    <row r="69" spans="5:53">
      <c r="O69" s="73"/>
      <c r="P69" s="73"/>
      <c r="R69" s="75" t="s">
        <v>106</v>
      </c>
      <c r="S69" s="74"/>
      <c r="T69" s="74"/>
      <c r="U69" s="73"/>
      <c r="V69" s="73"/>
      <c r="W69" s="73"/>
      <c r="X69" s="73"/>
      <c r="Y69" s="73"/>
      <c r="Z69" s="72" t="s">
        <v>105</v>
      </c>
      <c r="AA69" s="71" t="s">
        <v>104</v>
      </c>
      <c r="AB69" s="72" t="s">
        <v>103</v>
      </c>
      <c r="AC69" s="71" t="s">
        <v>102</v>
      </c>
      <c r="AD69" s="72" t="s">
        <v>101</v>
      </c>
      <c r="AE69" s="71" t="s">
        <v>100</v>
      </c>
      <c r="AZ69" s="46" t="str">
        <f t="shared" si="36"/>
        <v>1</v>
      </c>
      <c r="BA69" s="46" t="str">
        <f t="shared" si="37"/>
        <v>1</v>
      </c>
    </row>
    <row r="70" spans="5:53">
      <c r="O70" s="45"/>
      <c r="P70" s="45"/>
      <c r="R70" s="67" t="s">
        <v>99</v>
      </c>
      <c r="S70" s="66"/>
      <c r="T70" s="66"/>
      <c r="U70" s="45"/>
      <c r="V70" s="45"/>
      <c r="W70" s="45"/>
      <c r="X70" s="45"/>
      <c r="Y70" s="45"/>
      <c r="Z70" s="64">
        <f t="shared" ref="Z70:Z90" si="38">IF(AD70=0,0,(AD70/AD$91))</f>
        <v>0.73340471092077086</v>
      </c>
      <c r="AA70" s="65">
        <f t="shared" ref="AA70:AA90" ca="1" si="39">IF(AE70=0,0,(AE70/AE$91))</f>
        <v>0.76094105121568423</v>
      </c>
      <c r="AB70" s="70" t="s">
        <v>98</v>
      </c>
      <c r="AC70" s="69" t="s">
        <v>98</v>
      </c>
      <c r="AD70" s="62">
        <f t="shared" ref="AD70:AE90" si="40">SUMIF($G$31:$G$53,$R70,AD$31:AD$64)</f>
        <v>38360</v>
      </c>
      <c r="AE70" s="61">
        <f t="shared" ca="1" si="40"/>
        <v>3281318.7999999993</v>
      </c>
      <c r="AF70" s="47" t="str">
        <f t="shared" ref="AF70:AF90" si="41">R70</f>
        <v>ManTech</v>
      </c>
      <c r="AG70" s="53"/>
      <c r="AH70" s="53"/>
      <c r="AI70" s="53"/>
      <c r="AJ70" s="53"/>
      <c r="AK70" s="53"/>
      <c r="AL70" s="53"/>
      <c r="AM70" s="53"/>
      <c r="AN70" s="53"/>
      <c r="AO70" s="53"/>
      <c r="AP70" s="53"/>
      <c r="AQ70" s="53"/>
      <c r="AR70" s="53"/>
      <c r="AS70" s="53"/>
      <c r="AT70" s="53"/>
      <c r="AU70" s="53"/>
      <c r="AV70" s="52"/>
      <c r="AW70" s="51"/>
      <c r="AZ70" s="46" t="str">
        <f t="shared" si="36"/>
        <v>1</v>
      </c>
      <c r="BA70" s="46" t="str">
        <f t="shared" ca="1" si="37"/>
        <v>1</v>
      </c>
    </row>
    <row r="71" spans="5:53">
      <c r="M71" s="68"/>
      <c r="O71" s="45"/>
      <c r="P71" s="45"/>
      <c r="R71" s="67" t="s">
        <v>241</v>
      </c>
      <c r="S71" s="66"/>
      <c r="T71" s="66"/>
      <c r="U71" s="45"/>
      <c r="V71" s="45"/>
      <c r="W71" s="45"/>
      <c r="X71" s="45"/>
      <c r="Y71" s="45"/>
      <c r="Z71" s="64">
        <f t="shared" si="38"/>
        <v>0.26613643315998775</v>
      </c>
      <c r="AA71" s="65">
        <f t="shared" ca="1" si="39"/>
        <v>0.23816638973360632</v>
      </c>
      <c r="AB71" s="64">
        <f t="shared" ref="AB71:AB90" si="42">IF(AD71=0,0,(AD71/(AD$91-AD$70)))</f>
        <v>0.99827882960413084</v>
      </c>
      <c r="AC71" s="63">
        <f t="shared" ref="AC71:AC90" ca="1" si="43">IF(AE71=0,0,(AE71/(AE$91-AE$70)))</f>
        <v>0.99626636419490533</v>
      </c>
      <c r="AD71" s="62">
        <f t="shared" si="40"/>
        <v>13920</v>
      </c>
      <c r="AE71" s="61">
        <f t="shared" ca="1" si="40"/>
        <v>1027017.6000000001</v>
      </c>
      <c r="AF71" s="47" t="str">
        <f t="shared" si="41"/>
        <v>Segovia, Inc.</v>
      </c>
      <c r="AG71" s="53"/>
      <c r="AH71" s="53"/>
      <c r="AI71" s="53"/>
      <c r="AJ71" s="53"/>
      <c r="AK71" s="53"/>
      <c r="AL71" s="53"/>
      <c r="AM71" s="53"/>
      <c r="AN71" s="53"/>
      <c r="AO71" s="53"/>
      <c r="AP71" s="53"/>
      <c r="AQ71" s="53"/>
      <c r="AR71" s="53"/>
      <c r="AS71" s="53"/>
      <c r="AT71" s="53"/>
      <c r="AU71" s="53"/>
      <c r="AV71" s="52"/>
      <c r="AW71" s="51"/>
      <c r="AZ71" s="46" t="str">
        <f t="shared" ca="1" si="36"/>
        <v>1</v>
      </c>
      <c r="BA71" s="46" t="str">
        <f t="shared" ca="1" si="37"/>
        <v>1</v>
      </c>
    </row>
    <row r="72" spans="5:53">
      <c r="M72" s="68"/>
      <c r="O72" s="45"/>
      <c r="P72" s="45"/>
      <c r="R72" s="67" t="s">
        <v>242</v>
      </c>
      <c r="S72" s="66"/>
      <c r="T72" s="66"/>
      <c r="U72" s="45"/>
      <c r="V72" s="45"/>
      <c r="W72" s="45"/>
      <c r="X72" s="45"/>
      <c r="Y72" s="45"/>
      <c r="Z72" s="64">
        <f t="shared" si="38"/>
        <v>0</v>
      </c>
      <c r="AA72" s="65">
        <f t="shared" si="39"/>
        <v>0</v>
      </c>
      <c r="AB72" s="64">
        <f t="shared" si="42"/>
        <v>0</v>
      </c>
      <c r="AC72" s="63">
        <f t="shared" si="43"/>
        <v>0</v>
      </c>
      <c r="AD72" s="62">
        <f t="shared" si="40"/>
        <v>0</v>
      </c>
      <c r="AE72" s="61">
        <f t="shared" si="40"/>
        <v>0</v>
      </c>
      <c r="AF72" s="47" t="str">
        <f t="shared" si="41"/>
        <v>Briggs and Sons</v>
      </c>
      <c r="AG72" s="53"/>
      <c r="AH72" s="53"/>
      <c r="AI72" s="53"/>
      <c r="AJ72" s="53"/>
      <c r="AK72" s="53"/>
      <c r="AL72" s="53"/>
      <c r="AM72" s="53"/>
      <c r="AN72" s="53"/>
      <c r="AO72" s="53"/>
      <c r="AP72" s="53"/>
      <c r="AQ72" s="53"/>
      <c r="AR72" s="53"/>
      <c r="AS72" s="53"/>
      <c r="AT72" s="53"/>
      <c r="AU72" s="53"/>
      <c r="AV72" s="52"/>
      <c r="AW72" s="51"/>
      <c r="AZ72" s="46" t="str">
        <f t="shared" si="36"/>
        <v>0</v>
      </c>
      <c r="BA72" s="46" t="str">
        <f t="shared" si="37"/>
        <v>0</v>
      </c>
    </row>
    <row r="73" spans="5:53">
      <c r="M73" s="68"/>
      <c r="O73" s="45"/>
      <c r="P73" s="45"/>
      <c r="R73" s="67" t="s">
        <v>243</v>
      </c>
      <c r="S73" s="66"/>
      <c r="T73" s="66"/>
      <c r="U73" s="45"/>
      <c r="V73" s="45"/>
      <c r="W73" s="45"/>
      <c r="X73" s="45"/>
      <c r="Y73" s="45"/>
      <c r="Z73" s="64">
        <f t="shared" si="38"/>
        <v>4.588559192413582E-4</v>
      </c>
      <c r="AA73" s="65">
        <f t="shared" ca="1" si="39"/>
        <v>8.9255905070943537E-4</v>
      </c>
      <c r="AB73" s="64">
        <f t="shared" si="42"/>
        <v>1.7211703958691911E-3</v>
      </c>
      <c r="AC73" s="63">
        <f t="shared" ca="1" si="43"/>
        <v>3.733635805094759E-3</v>
      </c>
      <c r="AD73" s="62">
        <f t="shared" si="40"/>
        <v>24</v>
      </c>
      <c r="AE73" s="61">
        <f t="shared" ca="1" si="40"/>
        <v>3848.88</v>
      </c>
      <c r="AF73" s="47" t="str">
        <f t="shared" si="41"/>
        <v>Yvan</v>
      </c>
      <c r="AG73" s="53"/>
      <c r="AH73" s="53"/>
      <c r="AI73" s="53"/>
      <c r="AJ73" s="53"/>
      <c r="AK73" s="53"/>
      <c r="AL73" s="53"/>
      <c r="AM73" s="53"/>
      <c r="AN73" s="53"/>
      <c r="AO73" s="53"/>
      <c r="AP73" s="53"/>
      <c r="AQ73" s="53"/>
      <c r="AR73" s="53"/>
      <c r="AS73" s="53"/>
      <c r="AT73" s="53"/>
      <c r="AU73" s="53"/>
      <c r="AV73" s="52"/>
      <c r="AW73" s="51"/>
      <c r="AZ73" s="46" t="str">
        <f t="shared" ca="1" si="36"/>
        <v>1</v>
      </c>
      <c r="BA73" s="46" t="str">
        <f t="shared" ca="1" si="37"/>
        <v>1</v>
      </c>
    </row>
    <row r="74" spans="5:53">
      <c r="O74" s="45"/>
      <c r="P74" s="45"/>
      <c r="R74" s="67" t="s">
        <v>244</v>
      </c>
      <c r="S74" s="66"/>
      <c r="T74" s="66"/>
      <c r="U74" s="45"/>
      <c r="V74" s="45"/>
      <c r="W74" s="45"/>
      <c r="X74" s="45"/>
      <c r="Y74" s="45"/>
      <c r="Z74" s="64">
        <f t="shared" si="38"/>
        <v>0</v>
      </c>
      <c r="AA74" s="65">
        <f t="shared" si="39"/>
        <v>0</v>
      </c>
      <c r="AB74" s="64">
        <f t="shared" si="42"/>
        <v>0</v>
      </c>
      <c r="AC74" s="63">
        <f t="shared" si="43"/>
        <v>0</v>
      </c>
      <c r="AD74" s="62">
        <f t="shared" si="40"/>
        <v>0</v>
      </c>
      <c r="AE74" s="61">
        <f t="shared" si="40"/>
        <v>0</v>
      </c>
      <c r="AF74" s="47" t="str">
        <f t="shared" si="41"/>
        <v>Sub 4</v>
      </c>
      <c r="AG74" s="53"/>
      <c r="AH74" s="53"/>
      <c r="AI74" s="53"/>
      <c r="AJ74" s="53"/>
      <c r="AK74" s="53"/>
      <c r="AL74" s="53"/>
      <c r="AM74" s="53"/>
      <c r="AN74" s="53"/>
      <c r="AO74" s="53"/>
      <c r="AP74" s="53"/>
      <c r="AQ74" s="53"/>
      <c r="AR74" s="53"/>
      <c r="AS74" s="53"/>
      <c r="AT74" s="53"/>
      <c r="AU74" s="53"/>
      <c r="AV74" s="52"/>
      <c r="AW74" s="51"/>
      <c r="AZ74" s="46" t="str">
        <f t="shared" si="36"/>
        <v>0</v>
      </c>
      <c r="BA74" s="46" t="str">
        <f t="shared" si="37"/>
        <v>0</v>
      </c>
    </row>
    <row r="75" spans="5:53">
      <c r="O75" s="45"/>
      <c r="P75" s="45"/>
      <c r="R75" s="67" t="s">
        <v>245</v>
      </c>
      <c r="S75" s="66"/>
      <c r="T75" s="66"/>
      <c r="U75" s="45"/>
      <c r="V75" s="45"/>
      <c r="W75" s="45"/>
      <c r="X75" s="45"/>
      <c r="Y75" s="45"/>
      <c r="Z75" s="64">
        <f t="shared" si="38"/>
        <v>0</v>
      </c>
      <c r="AA75" s="65">
        <f t="shared" si="39"/>
        <v>0</v>
      </c>
      <c r="AB75" s="64">
        <f t="shared" si="42"/>
        <v>0</v>
      </c>
      <c r="AC75" s="63">
        <f t="shared" si="43"/>
        <v>0</v>
      </c>
      <c r="AD75" s="62">
        <f t="shared" si="40"/>
        <v>0</v>
      </c>
      <c r="AE75" s="61">
        <f t="shared" si="40"/>
        <v>0</v>
      </c>
      <c r="AF75" s="47" t="str">
        <f t="shared" si="41"/>
        <v>Sub 5</v>
      </c>
      <c r="AG75" s="53"/>
      <c r="AH75" s="53"/>
      <c r="AI75" s="53"/>
      <c r="AJ75" s="53"/>
      <c r="AK75" s="53"/>
      <c r="AL75" s="53"/>
      <c r="AM75" s="53"/>
      <c r="AN75" s="53"/>
      <c r="AO75" s="53"/>
      <c r="AP75" s="53"/>
      <c r="AQ75" s="53"/>
      <c r="AR75" s="53"/>
      <c r="AS75" s="53"/>
      <c r="AT75" s="53"/>
      <c r="AU75" s="53"/>
      <c r="AV75" s="52"/>
      <c r="AW75" s="51"/>
      <c r="AZ75" s="46" t="str">
        <f t="shared" si="36"/>
        <v>0</v>
      </c>
      <c r="BA75" s="46" t="str">
        <f t="shared" si="37"/>
        <v>0</v>
      </c>
    </row>
    <row r="76" spans="5:53">
      <c r="O76" s="45"/>
      <c r="P76" s="45"/>
      <c r="R76" s="67" t="s">
        <v>246</v>
      </c>
      <c r="S76" s="66"/>
      <c r="T76" s="66"/>
      <c r="U76" s="45"/>
      <c r="V76" s="45"/>
      <c r="W76" s="45"/>
      <c r="X76" s="45"/>
      <c r="Y76" s="45"/>
      <c r="Z76" s="64">
        <f t="shared" si="38"/>
        <v>0</v>
      </c>
      <c r="AA76" s="65">
        <f t="shared" si="39"/>
        <v>0</v>
      </c>
      <c r="AB76" s="64">
        <f t="shared" si="42"/>
        <v>0</v>
      </c>
      <c r="AC76" s="63">
        <f t="shared" si="43"/>
        <v>0</v>
      </c>
      <c r="AD76" s="62">
        <f t="shared" si="40"/>
        <v>0</v>
      </c>
      <c r="AE76" s="61">
        <f t="shared" si="40"/>
        <v>0</v>
      </c>
      <c r="AF76" s="47" t="str">
        <f t="shared" si="41"/>
        <v>Sub 6</v>
      </c>
      <c r="AG76" s="53"/>
      <c r="AH76" s="53"/>
      <c r="AI76" s="53"/>
      <c r="AJ76" s="53"/>
      <c r="AK76" s="53"/>
      <c r="AL76" s="53"/>
      <c r="AM76" s="53"/>
      <c r="AN76" s="53"/>
      <c r="AO76" s="53"/>
      <c r="AP76" s="53"/>
      <c r="AQ76" s="53"/>
      <c r="AR76" s="53"/>
      <c r="AS76" s="53"/>
      <c r="AT76" s="53"/>
      <c r="AU76" s="53"/>
      <c r="AV76" s="52"/>
      <c r="AW76" s="51"/>
      <c r="AZ76" s="46" t="str">
        <f t="shared" si="36"/>
        <v>0</v>
      </c>
      <c r="BA76" s="46" t="str">
        <f t="shared" si="37"/>
        <v>0</v>
      </c>
    </row>
    <row r="77" spans="5:53">
      <c r="O77" s="45"/>
      <c r="P77" s="45"/>
      <c r="R77" s="67" t="s">
        <v>247</v>
      </c>
      <c r="S77" s="66"/>
      <c r="T77" s="66"/>
      <c r="U77" s="45"/>
      <c r="V77" s="45"/>
      <c r="W77" s="45"/>
      <c r="X77" s="45"/>
      <c r="Y77" s="45"/>
      <c r="Z77" s="64">
        <f t="shared" si="38"/>
        <v>0</v>
      </c>
      <c r="AA77" s="65">
        <f t="shared" si="39"/>
        <v>0</v>
      </c>
      <c r="AB77" s="64">
        <f t="shared" si="42"/>
        <v>0</v>
      </c>
      <c r="AC77" s="63">
        <f t="shared" si="43"/>
        <v>0</v>
      </c>
      <c r="AD77" s="62">
        <f t="shared" si="40"/>
        <v>0</v>
      </c>
      <c r="AE77" s="61">
        <f t="shared" si="40"/>
        <v>0</v>
      </c>
      <c r="AF77" s="47" t="str">
        <f t="shared" si="41"/>
        <v>Sub 7</v>
      </c>
      <c r="AG77" s="53"/>
      <c r="AH77" s="53"/>
      <c r="AI77" s="53"/>
      <c r="AJ77" s="53"/>
      <c r="AK77" s="53"/>
      <c r="AL77" s="53"/>
      <c r="AM77" s="53"/>
      <c r="AN77" s="53"/>
      <c r="AO77" s="53"/>
      <c r="AP77" s="53"/>
      <c r="AQ77" s="53"/>
      <c r="AR77" s="53"/>
      <c r="AS77" s="53"/>
      <c r="AT77" s="53"/>
      <c r="AU77" s="53"/>
      <c r="AV77" s="52"/>
      <c r="AW77" s="51"/>
      <c r="AZ77" s="46" t="str">
        <f t="shared" si="36"/>
        <v>0</v>
      </c>
      <c r="BA77" s="46" t="str">
        <f t="shared" si="37"/>
        <v>0</v>
      </c>
    </row>
    <row r="78" spans="5:53">
      <c r="O78" s="45"/>
      <c r="P78" s="45"/>
      <c r="R78" s="67" t="s">
        <v>248</v>
      </c>
      <c r="S78" s="66"/>
      <c r="T78" s="66"/>
      <c r="U78" s="45"/>
      <c r="V78" s="45"/>
      <c r="W78" s="45"/>
      <c r="X78" s="45"/>
      <c r="Y78" s="45"/>
      <c r="Z78" s="64">
        <f t="shared" si="38"/>
        <v>0</v>
      </c>
      <c r="AA78" s="65">
        <f t="shared" si="39"/>
        <v>0</v>
      </c>
      <c r="AB78" s="64">
        <f t="shared" si="42"/>
        <v>0</v>
      </c>
      <c r="AC78" s="63">
        <f t="shared" si="43"/>
        <v>0</v>
      </c>
      <c r="AD78" s="62">
        <f t="shared" si="40"/>
        <v>0</v>
      </c>
      <c r="AE78" s="61">
        <f t="shared" si="40"/>
        <v>0</v>
      </c>
      <c r="AF78" s="47" t="str">
        <f t="shared" si="41"/>
        <v>Sub 8</v>
      </c>
      <c r="AG78" s="53"/>
      <c r="AH78" s="53"/>
      <c r="AI78" s="53"/>
      <c r="AJ78" s="53"/>
      <c r="AK78" s="53"/>
      <c r="AL78" s="53"/>
      <c r="AM78" s="53"/>
      <c r="AN78" s="53"/>
      <c r="AO78" s="53"/>
      <c r="AP78" s="53"/>
      <c r="AQ78" s="53"/>
      <c r="AR78" s="53"/>
      <c r="AS78" s="53"/>
      <c r="AT78" s="53"/>
      <c r="AU78" s="53"/>
      <c r="AV78" s="52"/>
      <c r="AW78" s="51"/>
      <c r="AZ78" s="46" t="str">
        <f t="shared" si="36"/>
        <v>0</v>
      </c>
      <c r="BA78" s="46" t="str">
        <f t="shared" si="37"/>
        <v>0</v>
      </c>
    </row>
    <row r="79" spans="5:53">
      <c r="O79" s="45"/>
      <c r="P79" s="45"/>
      <c r="R79" s="67" t="s">
        <v>249</v>
      </c>
      <c r="S79" s="66"/>
      <c r="T79" s="66"/>
      <c r="U79" s="45"/>
      <c r="V79" s="45"/>
      <c r="W79" s="45"/>
      <c r="X79" s="45"/>
      <c r="Y79" s="45"/>
      <c r="Z79" s="64">
        <f t="shared" si="38"/>
        <v>0</v>
      </c>
      <c r="AA79" s="65">
        <f t="shared" si="39"/>
        <v>0</v>
      </c>
      <c r="AB79" s="64">
        <f t="shared" si="42"/>
        <v>0</v>
      </c>
      <c r="AC79" s="63">
        <f t="shared" si="43"/>
        <v>0</v>
      </c>
      <c r="AD79" s="62">
        <f t="shared" si="40"/>
        <v>0</v>
      </c>
      <c r="AE79" s="61">
        <f t="shared" si="40"/>
        <v>0</v>
      </c>
      <c r="AF79" s="47" t="str">
        <f t="shared" si="41"/>
        <v>Sub 9</v>
      </c>
      <c r="AG79" s="53"/>
      <c r="AH79" s="53"/>
      <c r="AI79" s="53"/>
      <c r="AJ79" s="53"/>
      <c r="AK79" s="53"/>
      <c r="AL79" s="53"/>
      <c r="AM79" s="53"/>
      <c r="AN79" s="53"/>
      <c r="AO79" s="53"/>
      <c r="AP79" s="53"/>
      <c r="AQ79" s="53"/>
      <c r="AR79" s="53"/>
      <c r="AS79" s="53"/>
      <c r="AT79" s="53"/>
      <c r="AU79" s="53"/>
      <c r="AV79" s="52"/>
      <c r="AW79" s="51"/>
      <c r="AZ79" s="46" t="str">
        <f t="shared" si="36"/>
        <v>0</v>
      </c>
      <c r="BA79" s="46" t="str">
        <f t="shared" si="37"/>
        <v>0</v>
      </c>
    </row>
    <row r="80" spans="5:53">
      <c r="O80" s="45"/>
      <c r="P80" s="45"/>
      <c r="R80" s="67" t="s">
        <v>250</v>
      </c>
      <c r="S80" s="66"/>
      <c r="T80" s="66"/>
      <c r="U80" s="45"/>
      <c r="V80" s="45"/>
      <c r="W80" s="45"/>
      <c r="X80" s="45"/>
      <c r="Y80" s="45"/>
      <c r="Z80" s="64">
        <f t="shared" si="38"/>
        <v>0</v>
      </c>
      <c r="AA80" s="65">
        <f t="shared" si="39"/>
        <v>0</v>
      </c>
      <c r="AB80" s="64">
        <f t="shared" si="42"/>
        <v>0</v>
      </c>
      <c r="AC80" s="63">
        <f t="shared" si="43"/>
        <v>0</v>
      </c>
      <c r="AD80" s="62">
        <f t="shared" si="40"/>
        <v>0</v>
      </c>
      <c r="AE80" s="61">
        <f t="shared" si="40"/>
        <v>0</v>
      </c>
      <c r="AF80" s="47" t="str">
        <f t="shared" si="41"/>
        <v>Sub 10</v>
      </c>
      <c r="AG80" s="53"/>
      <c r="AH80" s="53"/>
      <c r="AI80" s="53"/>
      <c r="AJ80" s="53"/>
      <c r="AK80" s="53"/>
      <c r="AL80" s="53"/>
      <c r="AM80" s="53"/>
      <c r="AN80" s="53"/>
      <c r="AO80" s="53"/>
      <c r="AP80" s="53"/>
      <c r="AQ80" s="53"/>
      <c r="AR80" s="53"/>
      <c r="AS80" s="53"/>
      <c r="AT80" s="53"/>
      <c r="AU80" s="53"/>
      <c r="AV80" s="52"/>
      <c r="AW80" s="51"/>
      <c r="AZ80" s="46" t="str">
        <f t="shared" si="36"/>
        <v>0</v>
      </c>
      <c r="BA80" s="46" t="str">
        <f t="shared" si="37"/>
        <v>0</v>
      </c>
    </row>
    <row r="81" spans="15:53" s="45" customFormat="1">
      <c r="Q81" s="47"/>
      <c r="R81" s="67" t="s">
        <v>251</v>
      </c>
      <c r="S81" s="66"/>
      <c r="T81" s="66"/>
      <c r="Z81" s="64">
        <f t="shared" si="38"/>
        <v>0</v>
      </c>
      <c r="AA81" s="65">
        <f t="shared" si="39"/>
        <v>0</v>
      </c>
      <c r="AB81" s="64">
        <f t="shared" si="42"/>
        <v>0</v>
      </c>
      <c r="AC81" s="63">
        <f t="shared" si="43"/>
        <v>0</v>
      </c>
      <c r="AD81" s="62">
        <f t="shared" si="40"/>
        <v>0</v>
      </c>
      <c r="AE81" s="61">
        <f t="shared" si="40"/>
        <v>0</v>
      </c>
      <c r="AF81" s="47" t="str">
        <f t="shared" si="41"/>
        <v>Sub 11</v>
      </c>
      <c r="AG81" s="53"/>
      <c r="AH81" s="53"/>
      <c r="AI81" s="53"/>
      <c r="AJ81" s="53"/>
      <c r="AK81" s="53"/>
      <c r="AL81" s="53"/>
      <c r="AM81" s="53"/>
      <c r="AN81" s="53"/>
      <c r="AO81" s="53"/>
      <c r="AP81" s="53"/>
      <c r="AQ81" s="53"/>
      <c r="AR81" s="53"/>
      <c r="AS81" s="53"/>
      <c r="AT81" s="53"/>
      <c r="AU81" s="53"/>
      <c r="AV81" s="52"/>
      <c r="AW81" s="51"/>
      <c r="AZ81" s="46" t="str">
        <f t="shared" si="36"/>
        <v>0</v>
      </c>
      <c r="BA81" s="46" t="str">
        <f t="shared" si="37"/>
        <v>0</v>
      </c>
    </row>
    <row r="82" spans="15:53" s="45" customFormat="1">
      <c r="Q82" s="47"/>
      <c r="R82" s="67" t="s">
        <v>252</v>
      </c>
      <c r="S82" s="66"/>
      <c r="T82" s="66"/>
      <c r="Z82" s="64">
        <f t="shared" si="38"/>
        <v>0</v>
      </c>
      <c r="AA82" s="65">
        <f t="shared" si="39"/>
        <v>0</v>
      </c>
      <c r="AB82" s="64">
        <f t="shared" si="42"/>
        <v>0</v>
      </c>
      <c r="AC82" s="63">
        <f t="shared" si="43"/>
        <v>0</v>
      </c>
      <c r="AD82" s="62">
        <f t="shared" si="40"/>
        <v>0</v>
      </c>
      <c r="AE82" s="61">
        <f t="shared" si="40"/>
        <v>0</v>
      </c>
      <c r="AF82" s="47" t="str">
        <f t="shared" si="41"/>
        <v>Sub 12</v>
      </c>
      <c r="AG82" s="53"/>
      <c r="AH82" s="53"/>
      <c r="AI82" s="53"/>
      <c r="AJ82" s="53"/>
      <c r="AK82" s="53"/>
      <c r="AL82" s="53"/>
      <c r="AM82" s="53"/>
      <c r="AN82" s="53"/>
      <c r="AO82" s="53"/>
      <c r="AP82" s="53"/>
      <c r="AQ82" s="53"/>
      <c r="AR82" s="53"/>
      <c r="AS82" s="53"/>
      <c r="AT82" s="53"/>
      <c r="AU82" s="53"/>
      <c r="AV82" s="52"/>
      <c r="AW82" s="51"/>
      <c r="AZ82" s="46" t="str">
        <f t="shared" si="36"/>
        <v>0</v>
      </c>
      <c r="BA82" s="46" t="str">
        <f t="shared" si="37"/>
        <v>0</v>
      </c>
    </row>
    <row r="83" spans="15:53" s="45" customFormat="1">
      <c r="Q83" s="47"/>
      <c r="R83" s="67" t="s">
        <v>253</v>
      </c>
      <c r="S83" s="66"/>
      <c r="T83" s="66"/>
      <c r="Z83" s="64">
        <f t="shared" si="38"/>
        <v>0</v>
      </c>
      <c r="AA83" s="65">
        <f t="shared" si="39"/>
        <v>0</v>
      </c>
      <c r="AB83" s="64">
        <f t="shared" si="42"/>
        <v>0</v>
      </c>
      <c r="AC83" s="63">
        <f t="shared" si="43"/>
        <v>0</v>
      </c>
      <c r="AD83" s="62">
        <f t="shared" si="40"/>
        <v>0</v>
      </c>
      <c r="AE83" s="61">
        <f t="shared" si="40"/>
        <v>0</v>
      </c>
      <c r="AF83" s="47" t="str">
        <f t="shared" si="41"/>
        <v>Sub 13</v>
      </c>
      <c r="AG83" s="53"/>
      <c r="AH83" s="53"/>
      <c r="AI83" s="53"/>
      <c r="AJ83" s="53"/>
      <c r="AK83" s="53"/>
      <c r="AL83" s="53"/>
      <c r="AM83" s="53"/>
      <c r="AN83" s="53"/>
      <c r="AO83" s="53"/>
      <c r="AP83" s="53"/>
      <c r="AQ83" s="53"/>
      <c r="AR83" s="53"/>
      <c r="AS83" s="53"/>
      <c r="AT83" s="53"/>
      <c r="AU83" s="53"/>
      <c r="AV83" s="52"/>
      <c r="AW83" s="51"/>
      <c r="AZ83" s="46" t="str">
        <f t="shared" si="36"/>
        <v>0</v>
      </c>
      <c r="BA83" s="46" t="str">
        <f t="shared" si="37"/>
        <v>0</v>
      </c>
    </row>
    <row r="84" spans="15:53" s="45" customFormat="1">
      <c r="Q84" s="47"/>
      <c r="R84" s="67" t="s">
        <v>254</v>
      </c>
      <c r="S84" s="66"/>
      <c r="T84" s="66"/>
      <c r="Z84" s="64">
        <f t="shared" si="38"/>
        <v>0</v>
      </c>
      <c r="AA84" s="65">
        <f t="shared" si="39"/>
        <v>0</v>
      </c>
      <c r="AB84" s="64">
        <f t="shared" si="42"/>
        <v>0</v>
      </c>
      <c r="AC84" s="63">
        <f t="shared" si="43"/>
        <v>0</v>
      </c>
      <c r="AD84" s="62">
        <f t="shared" si="40"/>
        <v>0</v>
      </c>
      <c r="AE84" s="61">
        <f t="shared" si="40"/>
        <v>0</v>
      </c>
      <c r="AF84" s="47" t="str">
        <f t="shared" si="41"/>
        <v>Sub 14</v>
      </c>
      <c r="AG84" s="53"/>
      <c r="AH84" s="53"/>
      <c r="AI84" s="53"/>
      <c r="AJ84" s="53"/>
      <c r="AK84" s="53"/>
      <c r="AL84" s="53"/>
      <c r="AM84" s="53"/>
      <c r="AN84" s="53"/>
      <c r="AO84" s="53"/>
      <c r="AP84" s="53"/>
      <c r="AQ84" s="53"/>
      <c r="AR84" s="53"/>
      <c r="AS84" s="53"/>
      <c r="AT84" s="53"/>
      <c r="AU84" s="53"/>
      <c r="AV84" s="52"/>
      <c r="AW84" s="51"/>
      <c r="AZ84" s="46" t="str">
        <f t="shared" si="36"/>
        <v>0</v>
      </c>
      <c r="BA84" s="46" t="str">
        <f t="shared" si="37"/>
        <v>0</v>
      </c>
    </row>
    <row r="85" spans="15:53" s="45" customFormat="1">
      <c r="Q85" s="47"/>
      <c r="R85" s="67" t="s">
        <v>255</v>
      </c>
      <c r="S85" s="66"/>
      <c r="T85" s="66"/>
      <c r="Z85" s="64">
        <f t="shared" si="38"/>
        <v>0</v>
      </c>
      <c r="AA85" s="65">
        <f t="shared" si="39"/>
        <v>0</v>
      </c>
      <c r="AB85" s="64">
        <f t="shared" si="42"/>
        <v>0</v>
      </c>
      <c r="AC85" s="63">
        <f t="shared" si="43"/>
        <v>0</v>
      </c>
      <c r="AD85" s="62">
        <f t="shared" si="40"/>
        <v>0</v>
      </c>
      <c r="AE85" s="61">
        <f t="shared" si="40"/>
        <v>0</v>
      </c>
      <c r="AF85" s="47" t="str">
        <f t="shared" si="41"/>
        <v>Sub 15</v>
      </c>
      <c r="AG85" s="53"/>
      <c r="AH85" s="53"/>
      <c r="AI85" s="53"/>
      <c r="AJ85" s="53"/>
      <c r="AK85" s="53"/>
      <c r="AL85" s="53"/>
      <c r="AM85" s="53"/>
      <c r="AN85" s="53"/>
      <c r="AO85" s="53"/>
      <c r="AP85" s="53"/>
      <c r="AQ85" s="53"/>
      <c r="AR85" s="53"/>
      <c r="AS85" s="53"/>
      <c r="AT85" s="53"/>
      <c r="AU85" s="53"/>
      <c r="AV85" s="52"/>
      <c r="AW85" s="51"/>
      <c r="AZ85" s="46" t="str">
        <f t="shared" si="36"/>
        <v>0</v>
      </c>
      <c r="BA85" s="46" t="str">
        <f t="shared" si="37"/>
        <v>0</v>
      </c>
    </row>
    <row r="86" spans="15:53" s="45" customFormat="1">
      <c r="Q86" s="47"/>
      <c r="R86" s="67" t="s">
        <v>256</v>
      </c>
      <c r="S86" s="66"/>
      <c r="T86" s="66"/>
      <c r="Z86" s="64">
        <f t="shared" si="38"/>
        <v>0</v>
      </c>
      <c r="AA86" s="65">
        <f t="shared" si="39"/>
        <v>0</v>
      </c>
      <c r="AB86" s="64">
        <f t="shared" si="42"/>
        <v>0</v>
      </c>
      <c r="AC86" s="63">
        <f t="shared" si="43"/>
        <v>0</v>
      </c>
      <c r="AD86" s="62">
        <f t="shared" si="40"/>
        <v>0</v>
      </c>
      <c r="AE86" s="61">
        <f t="shared" si="40"/>
        <v>0</v>
      </c>
      <c r="AF86" s="47" t="str">
        <f t="shared" si="41"/>
        <v>Sub 16</v>
      </c>
      <c r="AG86" s="53"/>
      <c r="AH86" s="53"/>
      <c r="AI86" s="53"/>
      <c r="AJ86" s="53"/>
      <c r="AK86" s="53"/>
      <c r="AL86" s="53"/>
      <c r="AM86" s="53"/>
      <c r="AN86" s="53"/>
      <c r="AO86" s="53"/>
      <c r="AP86" s="53"/>
      <c r="AQ86" s="53"/>
      <c r="AR86" s="53"/>
      <c r="AS86" s="53"/>
      <c r="AT86" s="53"/>
      <c r="AU86" s="53"/>
      <c r="AV86" s="52"/>
      <c r="AW86" s="51"/>
      <c r="AZ86" s="46" t="str">
        <f t="shared" si="36"/>
        <v>0</v>
      </c>
      <c r="BA86" s="46" t="str">
        <f t="shared" si="37"/>
        <v>0</v>
      </c>
    </row>
    <row r="87" spans="15:53" s="45" customFormat="1">
      <c r="Q87" s="47"/>
      <c r="R87" s="67" t="s">
        <v>257</v>
      </c>
      <c r="S87" s="66"/>
      <c r="T87" s="66"/>
      <c r="Z87" s="64">
        <f t="shared" si="38"/>
        <v>0</v>
      </c>
      <c r="AA87" s="65">
        <f t="shared" si="39"/>
        <v>0</v>
      </c>
      <c r="AB87" s="64">
        <f t="shared" si="42"/>
        <v>0</v>
      </c>
      <c r="AC87" s="63">
        <f t="shared" si="43"/>
        <v>0</v>
      </c>
      <c r="AD87" s="62">
        <f t="shared" si="40"/>
        <v>0</v>
      </c>
      <c r="AE87" s="61">
        <f t="shared" si="40"/>
        <v>0</v>
      </c>
      <c r="AF87" s="47" t="str">
        <f t="shared" si="41"/>
        <v>Sub 17</v>
      </c>
      <c r="AG87" s="53"/>
      <c r="AH87" s="53"/>
      <c r="AI87" s="53"/>
      <c r="AJ87" s="53"/>
      <c r="AK87" s="53"/>
      <c r="AL87" s="53"/>
      <c r="AM87" s="53"/>
      <c r="AN87" s="53"/>
      <c r="AO87" s="53"/>
      <c r="AP87" s="53"/>
      <c r="AQ87" s="53"/>
      <c r="AR87" s="53"/>
      <c r="AS87" s="53"/>
      <c r="AT87" s="53"/>
      <c r="AU87" s="53"/>
      <c r="AV87" s="52"/>
      <c r="AW87" s="51"/>
      <c r="AZ87" s="46" t="str">
        <f t="shared" si="36"/>
        <v>0</v>
      </c>
      <c r="BA87" s="46" t="str">
        <f t="shared" si="37"/>
        <v>0</v>
      </c>
    </row>
    <row r="88" spans="15:53" s="45" customFormat="1">
      <c r="Q88" s="47"/>
      <c r="R88" s="67" t="s">
        <v>258</v>
      </c>
      <c r="S88" s="66"/>
      <c r="T88" s="66"/>
      <c r="Z88" s="64">
        <f t="shared" si="38"/>
        <v>0</v>
      </c>
      <c r="AA88" s="65">
        <f t="shared" si="39"/>
        <v>0</v>
      </c>
      <c r="AB88" s="64">
        <f t="shared" si="42"/>
        <v>0</v>
      </c>
      <c r="AC88" s="63">
        <f t="shared" si="43"/>
        <v>0</v>
      </c>
      <c r="AD88" s="62">
        <f t="shared" si="40"/>
        <v>0</v>
      </c>
      <c r="AE88" s="61">
        <f t="shared" si="40"/>
        <v>0</v>
      </c>
      <c r="AF88" s="47" t="str">
        <f t="shared" si="41"/>
        <v>Sub 18</v>
      </c>
      <c r="AG88" s="53"/>
      <c r="AH88" s="53"/>
      <c r="AI88" s="53"/>
      <c r="AJ88" s="53"/>
      <c r="AK88" s="53"/>
      <c r="AL88" s="53"/>
      <c r="AM88" s="53"/>
      <c r="AN88" s="53"/>
      <c r="AO88" s="53"/>
      <c r="AP88" s="53"/>
      <c r="AQ88" s="53"/>
      <c r="AR88" s="53"/>
      <c r="AS88" s="53"/>
      <c r="AT88" s="53"/>
      <c r="AU88" s="53"/>
      <c r="AV88" s="52"/>
      <c r="AW88" s="51"/>
      <c r="AZ88" s="46" t="str">
        <f t="shared" si="36"/>
        <v>0</v>
      </c>
      <c r="BA88" s="46" t="str">
        <f t="shared" si="37"/>
        <v>0</v>
      </c>
    </row>
    <row r="89" spans="15:53" s="45" customFormat="1">
      <c r="Q89" s="47"/>
      <c r="R89" s="67" t="s">
        <v>259</v>
      </c>
      <c r="S89" s="66"/>
      <c r="T89" s="66"/>
      <c r="Z89" s="64">
        <f t="shared" si="38"/>
        <v>0</v>
      </c>
      <c r="AA89" s="65">
        <f t="shared" si="39"/>
        <v>0</v>
      </c>
      <c r="AB89" s="64">
        <f t="shared" si="42"/>
        <v>0</v>
      </c>
      <c r="AC89" s="63">
        <f t="shared" si="43"/>
        <v>0</v>
      </c>
      <c r="AD89" s="62">
        <f t="shared" si="40"/>
        <v>0</v>
      </c>
      <c r="AE89" s="61">
        <f t="shared" si="40"/>
        <v>0</v>
      </c>
      <c r="AF89" s="47" t="str">
        <f t="shared" si="41"/>
        <v>Sub 19</v>
      </c>
      <c r="AG89" s="53"/>
      <c r="AH89" s="53"/>
      <c r="AI89" s="53"/>
      <c r="AJ89" s="53"/>
      <c r="AK89" s="53"/>
      <c r="AL89" s="53"/>
      <c r="AM89" s="53"/>
      <c r="AN89" s="53"/>
      <c r="AO89" s="53"/>
      <c r="AP89" s="53"/>
      <c r="AQ89" s="53"/>
      <c r="AR89" s="53"/>
      <c r="AS89" s="53"/>
      <c r="AT89" s="53"/>
      <c r="AU89" s="53"/>
      <c r="AV89" s="52"/>
      <c r="AW89" s="51"/>
      <c r="AZ89" s="46" t="str">
        <f t="shared" si="36"/>
        <v>0</v>
      </c>
      <c r="BA89" s="46" t="str">
        <f t="shared" si="37"/>
        <v>0</v>
      </c>
    </row>
    <row r="90" spans="15:53" s="45" customFormat="1">
      <c r="Q90" s="47"/>
      <c r="R90" s="67" t="s">
        <v>260</v>
      </c>
      <c r="S90" s="66"/>
      <c r="T90" s="66"/>
      <c r="Z90" s="64">
        <f t="shared" si="38"/>
        <v>0</v>
      </c>
      <c r="AA90" s="65">
        <f t="shared" si="39"/>
        <v>0</v>
      </c>
      <c r="AB90" s="64">
        <f t="shared" si="42"/>
        <v>0</v>
      </c>
      <c r="AC90" s="63">
        <f t="shared" si="43"/>
        <v>0</v>
      </c>
      <c r="AD90" s="62">
        <f t="shared" si="40"/>
        <v>0</v>
      </c>
      <c r="AE90" s="61">
        <f t="shared" si="40"/>
        <v>0</v>
      </c>
      <c r="AF90" s="47" t="str">
        <f t="shared" si="41"/>
        <v>Sub 20</v>
      </c>
      <c r="AG90" s="53"/>
      <c r="AH90" s="53"/>
      <c r="AI90" s="53"/>
      <c r="AJ90" s="53"/>
      <c r="AK90" s="53"/>
      <c r="AL90" s="53"/>
      <c r="AM90" s="53"/>
      <c r="AN90" s="53"/>
      <c r="AO90" s="53"/>
      <c r="AP90" s="53"/>
      <c r="AQ90" s="53"/>
      <c r="AR90" s="53"/>
      <c r="AS90" s="53"/>
      <c r="AT90" s="53"/>
      <c r="AU90" s="53"/>
      <c r="AV90" s="52"/>
      <c r="AW90" s="51"/>
      <c r="AZ90" s="46" t="str">
        <f t="shared" si="36"/>
        <v>0</v>
      </c>
      <c r="BA90" s="46" t="str">
        <f t="shared" si="37"/>
        <v>0</v>
      </c>
    </row>
    <row r="91" spans="15:53" s="45" customFormat="1" ht="13.5" thickBot="1">
      <c r="O91" s="60"/>
      <c r="P91" s="60"/>
      <c r="Q91" s="47"/>
      <c r="R91" s="58" t="s">
        <v>97</v>
      </c>
      <c r="S91" s="60"/>
      <c r="T91" s="60"/>
      <c r="U91" s="60"/>
      <c r="V91" s="60"/>
      <c r="W91" s="60"/>
      <c r="X91" s="60"/>
      <c r="Y91" s="60"/>
      <c r="Z91" s="58"/>
      <c r="AA91" s="59"/>
      <c r="AB91" s="58"/>
      <c r="AC91" s="57"/>
      <c r="AD91" s="56">
        <f>SUM(AD70:AD90)</f>
        <v>52304</v>
      </c>
      <c r="AE91" s="55">
        <f ca="1">SUM(AE70:AE90)</f>
        <v>4312185.2799999993</v>
      </c>
      <c r="AF91" s="47"/>
      <c r="AG91" s="54"/>
      <c r="AH91" s="54"/>
      <c r="AI91" s="54"/>
      <c r="AJ91" s="54"/>
      <c r="AK91" s="54"/>
      <c r="AL91" s="54"/>
      <c r="AM91" s="54"/>
      <c r="AN91" s="54"/>
      <c r="AO91" s="54"/>
      <c r="AP91" s="54"/>
      <c r="AQ91" s="54"/>
      <c r="AR91" s="54"/>
      <c r="AS91" s="54"/>
      <c r="AT91" s="54"/>
      <c r="AU91" s="53"/>
      <c r="AV91" s="52"/>
      <c r="AW91" s="51"/>
      <c r="AZ91" s="46" t="str">
        <f t="shared" si="36"/>
        <v>1</v>
      </c>
      <c r="BA91" s="46" t="str">
        <f t="shared" ca="1" si="37"/>
        <v>1</v>
      </c>
    </row>
    <row r="92" spans="15:53" s="45" customFormat="1" ht="13.5" thickTop="1">
      <c r="O92" s="49"/>
      <c r="P92" s="49"/>
      <c r="Q92" s="47"/>
      <c r="R92" s="50"/>
      <c r="S92" s="49"/>
      <c r="T92" s="49"/>
      <c r="U92" s="49"/>
      <c r="V92" s="49"/>
      <c r="W92" s="49"/>
      <c r="X92" s="49"/>
      <c r="Y92" s="49"/>
      <c r="Z92" s="49"/>
      <c r="AA92" s="49"/>
      <c r="AB92" s="49"/>
      <c r="AC92" s="49"/>
      <c r="AD92" s="49"/>
      <c r="AE92" s="48"/>
      <c r="AF92" s="47"/>
      <c r="AG92" s="47"/>
      <c r="AH92" s="47"/>
      <c r="AI92" s="47"/>
      <c r="AJ92" s="47"/>
      <c r="AK92" s="47"/>
      <c r="AL92" s="47"/>
      <c r="AM92" s="47"/>
      <c r="AN92" s="47"/>
      <c r="AO92" s="47"/>
      <c r="AP92" s="47"/>
      <c r="AQ92" s="47"/>
      <c r="AR92" s="47"/>
      <c r="AS92" s="47"/>
      <c r="AT92" s="47"/>
      <c r="AV92" s="47"/>
      <c r="AZ92" s="46" t="str">
        <f t="shared" si="36"/>
        <v>1</v>
      </c>
      <c r="BA92" s="46" t="str">
        <f t="shared" si="37"/>
        <v>1</v>
      </c>
    </row>
  </sheetData>
  <autoFilter ref="AZ29:BA29"/>
  <mergeCells count="1">
    <mergeCell ref="F2:L2"/>
  </mergeCells>
  <conditionalFormatting sqref="R24:U24">
    <cfRule type="cellIs" dxfId="3" priority="1" stopIfTrue="1" operator="greaterThan">
      <formula>0</formula>
    </cfRule>
  </conditionalFormatting>
  <dataValidations count="2">
    <dataValidation type="list" allowBlank="1" showInputMessage="1" showErrorMessage="1" sqref="G32:G49 JC32:JC49 SY32:SY49 ACU32:ACU49 AMQ32:AMQ49 AWM32:AWM49 BGI32:BGI49 BQE32:BQE49 CAA32:CAA49 CJW32:CJW49 CTS32:CTS49 DDO32:DDO49 DNK32:DNK49 DXG32:DXG49 EHC32:EHC49 EQY32:EQY49 FAU32:FAU49 FKQ32:FKQ49 FUM32:FUM49 GEI32:GEI49 GOE32:GOE49 GYA32:GYA49 HHW32:HHW49 HRS32:HRS49 IBO32:IBO49 ILK32:ILK49 IVG32:IVG49 JFC32:JFC49 JOY32:JOY49 JYU32:JYU49 KIQ32:KIQ49 KSM32:KSM49 LCI32:LCI49 LME32:LME49 LWA32:LWA49 MFW32:MFW49 MPS32:MPS49 MZO32:MZO49 NJK32:NJK49 NTG32:NTG49 ODC32:ODC49 OMY32:OMY49 OWU32:OWU49 PGQ32:PGQ49 PQM32:PQM49 QAI32:QAI49 QKE32:QKE49 QUA32:QUA49 RDW32:RDW49 RNS32:RNS49 RXO32:RXO49 SHK32:SHK49 SRG32:SRG49 TBC32:TBC49 TKY32:TKY49 TUU32:TUU49 UEQ32:UEQ49 UOM32:UOM49 UYI32:UYI49 VIE32:VIE49 VSA32:VSA49 WBW32:WBW49 WLS32:WLS49 WVO32:WVO49 G65568:G65585 JC65568:JC65585 SY65568:SY65585 ACU65568:ACU65585 AMQ65568:AMQ65585 AWM65568:AWM65585 BGI65568:BGI65585 BQE65568:BQE65585 CAA65568:CAA65585 CJW65568:CJW65585 CTS65568:CTS65585 DDO65568:DDO65585 DNK65568:DNK65585 DXG65568:DXG65585 EHC65568:EHC65585 EQY65568:EQY65585 FAU65568:FAU65585 FKQ65568:FKQ65585 FUM65568:FUM65585 GEI65568:GEI65585 GOE65568:GOE65585 GYA65568:GYA65585 HHW65568:HHW65585 HRS65568:HRS65585 IBO65568:IBO65585 ILK65568:ILK65585 IVG65568:IVG65585 JFC65568:JFC65585 JOY65568:JOY65585 JYU65568:JYU65585 KIQ65568:KIQ65585 KSM65568:KSM65585 LCI65568:LCI65585 LME65568:LME65585 LWA65568:LWA65585 MFW65568:MFW65585 MPS65568:MPS65585 MZO65568:MZO65585 NJK65568:NJK65585 NTG65568:NTG65585 ODC65568:ODC65585 OMY65568:OMY65585 OWU65568:OWU65585 PGQ65568:PGQ65585 PQM65568:PQM65585 QAI65568:QAI65585 QKE65568:QKE65585 QUA65568:QUA65585 RDW65568:RDW65585 RNS65568:RNS65585 RXO65568:RXO65585 SHK65568:SHK65585 SRG65568:SRG65585 TBC65568:TBC65585 TKY65568:TKY65585 TUU65568:TUU65585 UEQ65568:UEQ65585 UOM65568:UOM65585 UYI65568:UYI65585 VIE65568:VIE65585 VSA65568:VSA65585 WBW65568:WBW65585 WLS65568:WLS65585 WVO65568:WVO65585 G131104:G131121 JC131104:JC131121 SY131104:SY131121 ACU131104:ACU131121 AMQ131104:AMQ131121 AWM131104:AWM131121 BGI131104:BGI131121 BQE131104:BQE131121 CAA131104:CAA131121 CJW131104:CJW131121 CTS131104:CTS131121 DDO131104:DDO131121 DNK131104:DNK131121 DXG131104:DXG131121 EHC131104:EHC131121 EQY131104:EQY131121 FAU131104:FAU131121 FKQ131104:FKQ131121 FUM131104:FUM131121 GEI131104:GEI131121 GOE131104:GOE131121 GYA131104:GYA131121 HHW131104:HHW131121 HRS131104:HRS131121 IBO131104:IBO131121 ILK131104:ILK131121 IVG131104:IVG131121 JFC131104:JFC131121 JOY131104:JOY131121 JYU131104:JYU131121 KIQ131104:KIQ131121 KSM131104:KSM131121 LCI131104:LCI131121 LME131104:LME131121 LWA131104:LWA131121 MFW131104:MFW131121 MPS131104:MPS131121 MZO131104:MZO131121 NJK131104:NJK131121 NTG131104:NTG131121 ODC131104:ODC131121 OMY131104:OMY131121 OWU131104:OWU131121 PGQ131104:PGQ131121 PQM131104:PQM131121 QAI131104:QAI131121 QKE131104:QKE131121 QUA131104:QUA131121 RDW131104:RDW131121 RNS131104:RNS131121 RXO131104:RXO131121 SHK131104:SHK131121 SRG131104:SRG131121 TBC131104:TBC131121 TKY131104:TKY131121 TUU131104:TUU131121 UEQ131104:UEQ131121 UOM131104:UOM131121 UYI131104:UYI131121 VIE131104:VIE131121 VSA131104:VSA131121 WBW131104:WBW131121 WLS131104:WLS131121 WVO131104:WVO131121 G196640:G196657 JC196640:JC196657 SY196640:SY196657 ACU196640:ACU196657 AMQ196640:AMQ196657 AWM196640:AWM196657 BGI196640:BGI196657 BQE196640:BQE196657 CAA196640:CAA196657 CJW196640:CJW196657 CTS196640:CTS196657 DDO196640:DDO196657 DNK196640:DNK196657 DXG196640:DXG196657 EHC196640:EHC196657 EQY196640:EQY196657 FAU196640:FAU196657 FKQ196640:FKQ196657 FUM196640:FUM196657 GEI196640:GEI196657 GOE196640:GOE196657 GYA196640:GYA196657 HHW196640:HHW196657 HRS196640:HRS196657 IBO196640:IBO196657 ILK196640:ILK196657 IVG196640:IVG196657 JFC196640:JFC196657 JOY196640:JOY196657 JYU196640:JYU196657 KIQ196640:KIQ196657 KSM196640:KSM196657 LCI196640:LCI196657 LME196640:LME196657 LWA196640:LWA196657 MFW196640:MFW196657 MPS196640:MPS196657 MZO196640:MZO196657 NJK196640:NJK196657 NTG196640:NTG196657 ODC196640:ODC196657 OMY196640:OMY196657 OWU196640:OWU196657 PGQ196640:PGQ196657 PQM196640:PQM196657 QAI196640:QAI196657 QKE196640:QKE196657 QUA196640:QUA196657 RDW196640:RDW196657 RNS196640:RNS196657 RXO196640:RXO196657 SHK196640:SHK196657 SRG196640:SRG196657 TBC196640:TBC196657 TKY196640:TKY196657 TUU196640:TUU196657 UEQ196640:UEQ196657 UOM196640:UOM196657 UYI196640:UYI196657 VIE196640:VIE196657 VSA196640:VSA196657 WBW196640:WBW196657 WLS196640:WLS196657 WVO196640:WVO196657 G262176:G262193 JC262176:JC262193 SY262176:SY262193 ACU262176:ACU262193 AMQ262176:AMQ262193 AWM262176:AWM262193 BGI262176:BGI262193 BQE262176:BQE262193 CAA262176:CAA262193 CJW262176:CJW262193 CTS262176:CTS262193 DDO262176:DDO262193 DNK262176:DNK262193 DXG262176:DXG262193 EHC262176:EHC262193 EQY262176:EQY262193 FAU262176:FAU262193 FKQ262176:FKQ262193 FUM262176:FUM262193 GEI262176:GEI262193 GOE262176:GOE262193 GYA262176:GYA262193 HHW262176:HHW262193 HRS262176:HRS262193 IBO262176:IBO262193 ILK262176:ILK262193 IVG262176:IVG262193 JFC262176:JFC262193 JOY262176:JOY262193 JYU262176:JYU262193 KIQ262176:KIQ262193 KSM262176:KSM262193 LCI262176:LCI262193 LME262176:LME262193 LWA262176:LWA262193 MFW262176:MFW262193 MPS262176:MPS262193 MZO262176:MZO262193 NJK262176:NJK262193 NTG262176:NTG262193 ODC262176:ODC262193 OMY262176:OMY262193 OWU262176:OWU262193 PGQ262176:PGQ262193 PQM262176:PQM262193 QAI262176:QAI262193 QKE262176:QKE262193 QUA262176:QUA262193 RDW262176:RDW262193 RNS262176:RNS262193 RXO262176:RXO262193 SHK262176:SHK262193 SRG262176:SRG262193 TBC262176:TBC262193 TKY262176:TKY262193 TUU262176:TUU262193 UEQ262176:UEQ262193 UOM262176:UOM262193 UYI262176:UYI262193 VIE262176:VIE262193 VSA262176:VSA262193 WBW262176:WBW262193 WLS262176:WLS262193 WVO262176:WVO262193 G327712:G327729 JC327712:JC327729 SY327712:SY327729 ACU327712:ACU327729 AMQ327712:AMQ327729 AWM327712:AWM327729 BGI327712:BGI327729 BQE327712:BQE327729 CAA327712:CAA327729 CJW327712:CJW327729 CTS327712:CTS327729 DDO327712:DDO327729 DNK327712:DNK327729 DXG327712:DXG327729 EHC327712:EHC327729 EQY327712:EQY327729 FAU327712:FAU327729 FKQ327712:FKQ327729 FUM327712:FUM327729 GEI327712:GEI327729 GOE327712:GOE327729 GYA327712:GYA327729 HHW327712:HHW327729 HRS327712:HRS327729 IBO327712:IBO327729 ILK327712:ILK327729 IVG327712:IVG327729 JFC327712:JFC327729 JOY327712:JOY327729 JYU327712:JYU327729 KIQ327712:KIQ327729 KSM327712:KSM327729 LCI327712:LCI327729 LME327712:LME327729 LWA327712:LWA327729 MFW327712:MFW327729 MPS327712:MPS327729 MZO327712:MZO327729 NJK327712:NJK327729 NTG327712:NTG327729 ODC327712:ODC327729 OMY327712:OMY327729 OWU327712:OWU327729 PGQ327712:PGQ327729 PQM327712:PQM327729 QAI327712:QAI327729 QKE327712:QKE327729 QUA327712:QUA327729 RDW327712:RDW327729 RNS327712:RNS327729 RXO327712:RXO327729 SHK327712:SHK327729 SRG327712:SRG327729 TBC327712:TBC327729 TKY327712:TKY327729 TUU327712:TUU327729 UEQ327712:UEQ327729 UOM327712:UOM327729 UYI327712:UYI327729 VIE327712:VIE327729 VSA327712:VSA327729 WBW327712:WBW327729 WLS327712:WLS327729 WVO327712:WVO327729 G393248:G393265 JC393248:JC393265 SY393248:SY393265 ACU393248:ACU393265 AMQ393248:AMQ393265 AWM393248:AWM393265 BGI393248:BGI393265 BQE393248:BQE393265 CAA393248:CAA393265 CJW393248:CJW393265 CTS393248:CTS393265 DDO393248:DDO393265 DNK393248:DNK393265 DXG393248:DXG393265 EHC393248:EHC393265 EQY393248:EQY393265 FAU393248:FAU393265 FKQ393248:FKQ393265 FUM393248:FUM393265 GEI393248:GEI393265 GOE393248:GOE393265 GYA393248:GYA393265 HHW393248:HHW393265 HRS393248:HRS393265 IBO393248:IBO393265 ILK393248:ILK393265 IVG393248:IVG393265 JFC393248:JFC393265 JOY393248:JOY393265 JYU393248:JYU393265 KIQ393248:KIQ393265 KSM393248:KSM393265 LCI393248:LCI393265 LME393248:LME393265 LWA393248:LWA393265 MFW393248:MFW393265 MPS393248:MPS393265 MZO393248:MZO393265 NJK393248:NJK393265 NTG393248:NTG393265 ODC393248:ODC393265 OMY393248:OMY393265 OWU393248:OWU393265 PGQ393248:PGQ393265 PQM393248:PQM393265 QAI393248:QAI393265 QKE393248:QKE393265 QUA393248:QUA393265 RDW393248:RDW393265 RNS393248:RNS393265 RXO393248:RXO393265 SHK393248:SHK393265 SRG393248:SRG393265 TBC393248:TBC393265 TKY393248:TKY393265 TUU393248:TUU393265 UEQ393248:UEQ393265 UOM393248:UOM393265 UYI393248:UYI393265 VIE393248:VIE393265 VSA393248:VSA393265 WBW393248:WBW393265 WLS393248:WLS393265 WVO393248:WVO393265 G458784:G458801 JC458784:JC458801 SY458784:SY458801 ACU458784:ACU458801 AMQ458784:AMQ458801 AWM458784:AWM458801 BGI458784:BGI458801 BQE458784:BQE458801 CAA458784:CAA458801 CJW458784:CJW458801 CTS458784:CTS458801 DDO458784:DDO458801 DNK458784:DNK458801 DXG458784:DXG458801 EHC458784:EHC458801 EQY458784:EQY458801 FAU458784:FAU458801 FKQ458784:FKQ458801 FUM458784:FUM458801 GEI458784:GEI458801 GOE458784:GOE458801 GYA458784:GYA458801 HHW458784:HHW458801 HRS458784:HRS458801 IBO458784:IBO458801 ILK458784:ILK458801 IVG458784:IVG458801 JFC458784:JFC458801 JOY458784:JOY458801 JYU458784:JYU458801 KIQ458784:KIQ458801 KSM458784:KSM458801 LCI458784:LCI458801 LME458784:LME458801 LWA458784:LWA458801 MFW458784:MFW458801 MPS458784:MPS458801 MZO458784:MZO458801 NJK458784:NJK458801 NTG458784:NTG458801 ODC458784:ODC458801 OMY458784:OMY458801 OWU458784:OWU458801 PGQ458784:PGQ458801 PQM458784:PQM458801 QAI458784:QAI458801 QKE458784:QKE458801 QUA458784:QUA458801 RDW458784:RDW458801 RNS458784:RNS458801 RXO458784:RXO458801 SHK458784:SHK458801 SRG458784:SRG458801 TBC458784:TBC458801 TKY458784:TKY458801 TUU458784:TUU458801 UEQ458784:UEQ458801 UOM458784:UOM458801 UYI458784:UYI458801 VIE458784:VIE458801 VSA458784:VSA458801 WBW458784:WBW458801 WLS458784:WLS458801 WVO458784:WVO458801 G524320:G524337 JC524320:JC524337 SY524320:SY524337 ACU524320:ACU524337 AMQ524320:AMQ524337 AWM524320:AWM524337 BGI524320:BGI524337 BQE524320:BQE524337 CAA524320:CAA524337 CJW524320:CJW524337 CTS524320:CTS524337 DDO524320:DDO524337 DNK524320:DNK524337 DXG524320:DXG524337 EHC524320:EHC524337 EQY524320:EQY524337 FAU524320:FAU524337 FKQ524320:FKQ524337 FUM524320:FUM524337 GEI524320:GEI524337 GOE524320:GOE524337 GYA524320:GYA524337 HHW524320:HHW524337 HRS524320:HRS524337 IBO524320:IBO524337 ILK524320:ILK524337 IVG524320:IVG524337 JFC524320:JFC524337 JOY524320:JOY524337 JYU524320:JYU524337 KIQ524320:KIQ524337 KSM524320:KSM524337 LCI524320:LCI524337 LME524320:LME524337 LWA524320:LWA524337 MFW524320:MFW524337 MPS524320:MPS524337 MZO524320:MZO524337 NJK524320:NJK524337 NTG524320:NTG524337 ODC524320:ODC524337 OMY524320:OMY524337 OWU524320:OWU524337 PGQ524320:PGQ524337 PQM524320:PQM524337 QAI524320:QAI524337 QKE524320:QKE524337 QUA524320:QUA524337 RDW524320:RDW524337 RNS524320:RNS524337 RXO524320:RXO524337 SHK524320:SHK524337 SRG524320:SRG524337 TBC524320:TBC524337 TKY524320:TKY524337 TUU524320:TUU524337 UEQ524320:UEQ524337 UOM524320:UOM524337 UYI524320:UYI524337 VIE524320:VIE524337 VSA524320:VSA524337 WBW524320:WBW524337 WLS524320:WLS524337 WVO524320:WVO524337 G589856:G589873 JC589856:JC589873 SY589856:SY589873 ACU589856:ACU589873 AMQ589856:AMQ589873 AWM589856:AWM589873 BGI589856:BGI589873 BQE589856:BQE589873 CAA589856:CAA589873 CJW589856:CJW589873 CTS589856:CTS589873 DDO589856:DDO589873 DNK589856:DNK589873 DXG589856:DXG589873 EHC589856:EHC589873 EQY589856:EQY589873 FAU589856:FAU589873 FKQ589856:FKQ589873 FUM589856:FUM589873 GEI589856:GEI589873 GOE589856:GOE589873 GYA589856:GYA589873 HHW589856:HHW589873 HRS589856:HRS589873 IBO589856:IBO589873 ILK589856:ILK589873 IVG589856:IVG589873 JFC589856:JFC589873 JOY589856:JOY589873 JYU589856:JYU589873 KIQ589856:KIQ589873 KSM589856:KSM589873 LCI589856:LCI589873 LME589856:LME589873 LWA589856:LWA589873 MFW589856:MFW589873 MPS589856:MPS589873 MZO589856:MZO589873 NJK589856:NJK589873 NTG589856:NTG589873 ODC589856:ODC589873 OMY589856:OMY589873 OWU589856:OWU589873 PGQ589856:PGQ589873 PQM589856:PQM589873 QAI589856:QAI589873 QKE589856:QKE589873 QUA589856:QUA589873 RDW589856:RDW589873 RNS589856:RNS589873 RXO589856:RXO589873 SHK589856:SHK589873 SRG589856:SRG589873 TBC589856:TBC589873 TKY589856:TKY589873 TUU589856:TUU589873 UEQ589856:UEQ589873 UOM589856:UOM589873 UYI589856:UYI589873 VIE589856:VIE589873 VSA589856:VSA589873 WBW589856:WBW589873 WLS589856:WLS589873 WVO589856:WVO589873 G655392:G655409 JC655392:JC655409 SY655392:SY655409 ACU655392:ACU655409 AMQ655392:AMQ655409 AWM655392:AWM655409 BGI655392:BGI655409 BQE655392:BQE655409 CAA655392:CAA655409 CJW655392:CJW655409 CTS655392:CTS655409 DDO655392:DDO655409 DNK655392:DNK655409 DXG655392:DXG655409 EHC655392:EHC655409 EQY655392:EQY655409 FAU655392:FAU655409 FKQ655392:FKQ655409 FUM655392:FUM655409 GEI655392:GEI655409 GOE655392:GOE655409 GYA655392:GYA655409 HHW655392:HHW655409 HRS655392:HRS655409 IBO655392:IBO655409 ILK655392:ILK655409 IVG655392:IVG655409 JFC655392:JFC655409 JOY655392:JOY655409 JYU655392:JYU655409 KIQ655392:KIQ655409 KSM655392:KSM655409 LCI655392:LCI655409 LME655392:LME655409 LWA655392:LWA655409 MFW655392:MFW655409 MPS655392:MPS655409 MZO655392:MZO655409 NJK655392:NJK655409 NTG655392:NTG655409 ODC655392:ODC655409 OMY655392:OMY655409 OWU655392:OWU655409 PGQ655392:PGQ655409 PQM655392:PQM655409 QAI655392:QAI655409 QKE655392:QKE655409 QUA655392:QUA655409 RDW655392:RDW655409 RNS655392:RNS655409 RXO655392:RXO655409 SHK655392:SHK655409 SRG655392:SRG655409 TBC655392:TBC655409 TKY655392:TKY655409 TUU655392:TUU655409 UEQ655392:UEQ655409 UOM655392:UOM655409 UYI655392:UYI655409 VIE655392:VIE655409 VSA655392:VSA655409 WBW655392:WBW655409 WLS655392:WLS655409 WVO655392:WVO655409 G720928:G720945 JC720928:JC720945 SY720928:SY720945 ACU720928:ACU720945 AMQ720928:AMQ720945 AWM720928:AWM720945 BGI720928:BGI720945 BQE720928:BQE720945 CAA720928:CAA720945 CJW720928:CJW720945 CTS720928:CTS720945 DDO720928:DDO720945 DNK720928:DNK720945 DXG720928:DXG720945 EHC720928:EHC720945 EQY720928:EQY720945 FAU720928:FAU720945 FKQ720928:FKQ720945 FUM720928:FUM720945 GEI720928:GEI720945 GOE720928:GOE720945 GYA720928:GYA720945 HHW720928:HHW720945 HRS720928:HRS720945 IBO720928:IBO720945 ILK720928:ILK720945 IVG720928:IVG720945 JFC720928:JFC720945 JOY720928:JOY720945 JYU720928:JYU720945 KIQ720928:KIQ720945 KSM720928:KSM720945 LCI720928:LCI720945 LME720928:LME720945 LWA720928:LWA720945 MFW720928:MFW720945 MPS720928:MPS720945 MZO720928:MZO720945 NJK720928:NJK720945 NTG720928:NTG720945 ODC720928:ODC720945 OMY720928:OMY720945 OWU720928:OWU720945 PGQ720928:PGQ720945 PQM720928:PQM720945 QAI720928:QAI720945 QKE720928:QKE720945 QUA720928:QUA720945 RDW720928:RDW720945 RNS720928:RNS720945 RXO720928:RXO720945 SHK720928:SHK720945 SRG720928:SRG720945 TBC720928:TBC720945 TKY720928:TKY720945 TUU720928:TUU720945 UEQ720928:UEQ720945 UOM720928:UOM720945 UYI720928:UYI720945 VIE720928:VIE720945 VSA720928:VSA720945 WBW720928:WBW720945 WLS720928:WLS720945 WVO720928:WVO720945 G786464:G786481 JC786464:JC786481 SY786464:SY786481 ACU786464:ACU786481 AMQ786464:AMQ786481 AWM786464:AWM786481 BGI786464:BGI786481 BQE786464:BQE786481 CAA786464:CAA786481 CJW786464:CJW786481 CTS786464:CTS786481 DDO786464:DDO786481 DNK786464:DNK786481 DXG786464:DXG786481 EHC786464:EHC786481 EQY786464:EQY786481 FAU786464:FAU786481 FKQ786464:FKQ786481 FUM786464:FUM786481 GEI786464:GEI786481 GOE786464:GOE786481 GYA786464:GYA786481 HHW786464:HHW786481 HRS786464:HRS786481 IBO786464:IBO786481 ILK786464:ILK786481 IVG786464:IVG786481 JFC786464:JFC786481 JOY786464:JOY786481 JYU786464:JYU786481 KIQ786464:KIQ786481 KSM786464:KSM786481 LCI786464:LCI786481 LME786464:LME786481 LWA786464:LWA786481 MFW786464:MFW786481 MPS786464:MPS786481 MZO786464:MZO786481 NJK786464:NJK786481 NTG786464:NTG786481 ODC786464:ODC786481 OMY786464:OMY786481 OWU786464:OWU786481 PGQ786464:PGQ786481 PQM786464:PQM786481 QAI786464:QAI786481 QKE786464:QKE786481 QUA786464:QUA786481 RDW786464:RDW786481 RNS786464:RNS786481 RXO786464:RXO786481 SHK786464:SHK786481 SRG786464:SRG786481 TBC786464:TBC786481 TKY786464:TKY786481 TUU786464:TUU786481 UEQ786464:UEQ786481 UOM786464:UOM786481 UYI786464:UYI786481 VIE786464:VIE786481 VSA786464:VSA786481 WBW786464:WBW786481 WLS786464:WLS786481 WVO786464:WVO786481 G852000:G852017 JC852000:JC852017 SY852000:SY852017 ACU852000:ACU852017 AMQ852000:AMQ852017 AWM852000:AWM852017 BGI852000:BGI852017 BQE852000:BQE852017 CAA852000:CAA852017 CJW852000:CJW852017 CTS852000:CTS852017 DDO852000:DDO852017 DNK852000:DNK852017 DXG852000:DXG852017 EHC852000:EHC852017 EQY852000:EQY852017 FAU852000:FAU852017 FKQ852000:FKQ852017 FUM852000:FUM852017 GEI852000:GEI852017 GOE852000:GOE852017 GYA852000:GYA852017 HHW852000:HHW852017 HRS852000:HRS852017 IBO852000:IBO852017 ILK852000:ILK852017 IVG852000:IVG852017 JFC852000:JFC852017 JOY852000:JOY852017 JYU852000:JYU852017 KIQ852000:KIQ852017 KSM852000:KSM852017 LCI852000:LCI852017 LME852000:LME852017 LWA852000:LWA852017 MFW852000:MFW852017 MPS852000:MPS852017 MZO852000:MZO852017 NJK852000:NJK852017 NTG852000:NTG852017 ODC852000:ODC852017 OMY852000:OMY852017 OWU852000:OWU852017 PGQ852000:PGQ852017 PQM852000:PQM852017 QAI852000:QAI852017 QKE852000:QKE852017 QUA852000:QUA852017 RDW852000:RDW852017 RNS852000:RNS852017 RXO852000:RXO852017 SHK852000:SHK852017 SRG852000:SRG852017 TBC852000:TBC852017 TKY852000:TKY852017 TUU852000:TUU852017 UEQ852000:UEQ852017 UOM852000:UOM852017 UYI852000:UYI852017 VIE852000:VIE852017 VSA852000:VSA852017 WBW852000:WBW852017 WLS852000:WLS852017 WVO852000:WVO852017 G917536:G917553 JC917536:JC917553 SY917536:SY917553 ACU917536:ACU917553 AMQ917536:AMQ917553 AWM917536:AWM917553 BGI917536:BGI917553 BQE917536:BQE917553 CAA917536:CAA917553 CJW917536:CJW917553 CTS917536:CTS917553 DDO917536:DDO917553 DNK917536:DNK917553 DXG917536:DXG917553 EHC917536:EHC917553 EQY917536:EQY917553 FAU917536:FAU917553 FKQ917536:FKQ917553 FUM917536:FUM917553 GEI917536:GEI917553 GOE917536:GOE917553 GYA917536:GYA917553 HHW917536:HHW917553 HRS917536:HRS917553 IBO917536:IBO917553 ILK917536:ILK917553 IVG917536:IVG917553 JFC917536:JFC917553 JOY917536:JOY917553 JYU917536:JYU917553 KIQ917536:KIQ917553 KSM917536:KSM917553 LCI917536:LCI917553 LME917536:LME917553 LWA917536:LWA917553 MFW917536:MFW917553 MPS917536:MPS917553 MZO917536:MZO917553 NJK917536:NJK917553 NTG917536:NTG917553 ODC917536:ODC917553 OMY917536:OMY917553 OWU917536:OWU917553 PGQ917536:PGQ917553 PQM917536:PQM917553 QAI917536:QAI917553 QKE917536:QKE917553 QUA917536:QUA917553 RDW917536:RDW917553 RNS917536:RNS917553 RXO917536:RXO917553 SHK917536:SHK917553 SRG917536:SRG917553 TBC917536:TBC917553 TKY917536:TKY917553 TUU917536:TUU917553 UEQ917536:UEQ917553 UOM917536:UOM917553 UYI917536:UYI917553 VIE917536:VIE917553 VSA917536:VSA917553 WBW917536:WBW917553 WLS917536:WLS917553 WVO917536:WVO917553 G983072:G983089 JC983072:JC983089 SY983072:SY983089 ACU983072:ACU983089 AMQ983072:AMQ983089 AWM983072:AWM983089 BGI983072:BGI983089 BQE983072:BQE983089 CAA983072:CAA983089 CJW983072:CJW983089 CTS983072:CTS983089 DDO983072:DDO983089 DNK983072:DNK983089 DXG983072:DXG983089 EHC983072:EHC983089 EQY983072:EQY983089 FAU983072:FAU983089 FKQ983072:FKQ983089 FUM983072:FUM983089 GEI983072:GEI983089 GOE983072:GOE983089 GYA983072:GYA983089 HHW983072:HHW983089 HRS983072:HRS983089 IBO983072:IBO983089 ILK983072:ILK983089 IVG983072:IVG983089 JFC983072:JFC983089 JOY983072:JOY983089 JYU983072:JYU983089 KIQ983072:KIQ983089 KSM983072:KSM983089 LCI983072:LCI983089 LME983072:LME983089 LWA983072:LWA983089 MFW983072:MFW983089 MPS983072:MPS983089 MZO983072:MZO983089 NJK983072:NJK983089 NTG983072:NTG983089 ODC983072:ODC983089 OMY983072:OMY983089 OWU983072:OWU983089 PGQ983072:PGQ983089 PQM983072:PQM983089 QAI983072:QAI983089 QKE983072:QKE983089 QUA983072:QUA983089 RDW983072:RDW983089 RNS983072:RNS983089 RXO983072:RXO983089 SHK983072:SHK983089 SRG983072:SRG983089 TBC983072:TBC983089 TKY983072:TKY983089 TUU983072:TUU983089 UEQ983072:UEQ983089 UOM983072:UOM983089 UYI983072:UYI983089 VIE983072:VIE983089 VSA983072:VSA983089 WBW983072:WBW983089 WLS983072:WLS983089 WVO983072:WVO983089">
      <formula1>$R$70:$R$90</formula1>
    </dataValidation>
    <dataValidation type="list" allowBlank="1" showInputMessage="1" showErrorMessage="1" sqref="L32:L49 JH32:JH49 TD32:TD49 ACZ32:ACZ49 AMV32:AMV49 AWR32:AWR49 BGN32:BGN49 BQJ32:BQJ49 CAF32:CAF49 CKB32:CKB49 CTX32:CTX49 DDT32:DDT49 DNP32:DNP49 DXL32:DXL49 EHH32:EHH49 ERD32:ERD49 FAZ32:FAZ49 FKV32:FKV49 FUR32:FUR49 GEN32:GEN49 GOJ32:GOJ49 GYF32:GYF49 HIB32:HIB49 HRX32:HRX49 IBT32:IBT49 ILP32:ILP49 IVL32:IVL49 JFH32:JFH49 JPD32:JPD49 JYZ32:JYZ49 KIV32:KIV49 KSR32:KSR49 LCN32:LCN49 LMJ32:LMJ49 LWF32:LWF49 MGB32:MGB49 MPX32:MPX49 MZT32:MZT49 NJP32:NJP49 NTL32:NTL49 ODH32:ODH49 OND32:OND49 OWZ32:OWZ49 PGV32:PGV49 PQR32:PQR49 QAN32:QAN49 QKJ32:QKJ49 QUF32:QUF49 REB32:REB49 RNX32:RNX49 RXT32:RXT49 SHP32:SHP49 SRL32:SRL49 TBH32:TBH49 TLD32:TLD49 TUZ32:TUZ49 UEV32:UEV49 UOR32:UOR49 UYN32:UYN49 VIJ32:VIJ49 VSF32:VSF49 WCB32:WCB49 WLX32:WLX49 WVT32:WVT49 L65568:L65585 JH65568:JH65585 TD65568:TD65585 ACZ65568:ACZ65585 AMV65568:AMV65585 AWR65568:AWR65585 BGN65568:BGN65585 BQJ65568:BQJ65585 CAF65568:CAF65585 CKB65568:CKB65585 CTX65568:CTX65585 DDT65568:DDT65585 DNP65568:DNP65585 DXL65568:DXL65585 EHH65568:EHH65585 ERD65568:ERD65585 FAZ65568:FAZ65585 FKV65568:FKV65585 FUR65568:FUR65585 GEN65568:GEN65585 GOJ65568:GOJ65585 GYF65568:GYF65585 HIB65568:HIB65585 HRX65568:HRX65585 IBT65568:IBT65585 ILP65568:ILP65585 IVL65568:IVL65585 JFH65568:JFH65585 JPD65568:JPD65585 JYZ65568:JYZ65585 KIV65568:KIV65585 KSR65568:KSR65585 LCN65568:LCN65585 LMJ65568:LMJ65585 LWF65568:LWF65585 MGB65568:MGB65585 MPX65568:MPX65585 MZT65568:MZT65585 NJP65568:NJP65585 NTL65568:NTL65585 ODH65568:ODH65585 OND65568:OND65585 OWZ65568:OWZ65585 PGV65568:PGV65585 PQR65568:PQR65585 QAN65568:QAN65585 QKJ65568:QKJ65585 QUF65568:QUF65585 REB65568:REB65585 RNX65568:RNX65585 RXT65568:RXT65585 SHP65568:SHP65585 SRL65568:SRL65585 TBH65568:TBH65585 TLD65568:TLD65585 TUZ65568:TUZ65585 UEV65568:UEV65585 UOR65568:UOR65585 UYN65568:UYN65585 VIJ65568:VIJ65585 VSF65568:VSF65585 WCB65568:WCB65585 WLX65568:WLX65585 WVT65568:WVT65585 L131104:L131121 JH131104:JH131121 TD131104:TD131121 ACZ131104:ACZ131121 AMV131104:AMV131121 AWR131104:AWR131121 BGN131104:BGN131121 BQJ131104:BQJ131121 CAF131104:CAF131121 CKB131104:CKB131121 CTX131104:CTX131121 DDT131104:DDT131121 DNP131104:DNP131121 DXL131104:DXL131121 EHH131104:EHH131121 ERD131104:ERD131121 FAZ131104:FAZ131121 FKV131104:FKV131121 FUR131104:FUR131121 GEN131104:GEN131121 GOJ131104:GOJ131121 GYF131104:GYF131121 HIB131104:HIB131121 HRX131104:HRX131121 IBT131104:IBT131121 ILP131104:ILP131121 IVL131104:IVL131121 JFH131104:JFH131121 JPD131104:JPD131121 JYZ131104:JYZ131121 KIV131104:KIV131121 KSR131104:KSR131121 LCN131104:LCN131121 LMJ131104:LMJ131121 LWF131104:LWF131121 MGB131104:MGB131121 MPX131104:MPX131121 MZT131104:MZT131121 NJP131104:NJP131121 NTL131104:NTL131121 ODH131104:ODH131121 OND131104:OND131121 OWZ131104:OWZ131121 PGV131104:PGV131121 PQR131104:PQR131121 QAN131104:QAN131121 QKJ131104:QKJ131121 QUF131104:QUF131121 REB131104:REB131121 RNX131104:RNX131121 RXT131104:RXT131121 SHP131104:SHP131121 SRL131104:SRL131121 TBH131104:TBH131121 TLD131104:TLD131121 TUZ131104:TUZ131121 UEV131104:UEV131121 UOR131104:UOR131121 UYN131104:UYN131121 VIJ131104:VIJ131121 VSF131104:VSF131121 WCB131104:WCB131121 WLX131104:WLX131121 WVT131104:WVT131121 L196640:L196657 JH196640:JH196657 TD196640:TD196657 ACZ196640:ACZ196657 AMV196640:AMV196657 AWR196640:AWR196657 BGN196640:BGN196657 BQJ196640:BQJ196657 CAF196640:CAF196657 CKB196640:CKB196657 CTX196640:CTX196657 DDT196640:DDT196657 DNP196640:DNP196657 DXL196640:DXL196657 EHH196640:EHH196657 ERD196640:ERD196657 FAZ196640:FAZ196657 FKV196640:FKV196657 FUR196640:FUR196657 GEN196640:GEN196657 GOJ196640:GOJ196657 GYF196640:GYF196657 HIB196640:HIB196657 HRX196640:HRX196657 IBT196640:IBT196657 ILP196640:ILP196657 IVL196640:IVL196657 JFH196640:JFH196657 JPD196640:JPD196657 JYZ196640:JYZ196657 KIV196640:KIV196657 KSR196640:KSR196657 LCN196640:LCN196657 LMJ196640:LMJ196657 LWF196640:LWF196657 MGB196640:MGB196657 MPX196640:MPX196657 MZT196640:MZT196657 NJP196640:NJP196657 NTL196640:NTL196657 ODH196640:ODH196657 OND196640:OND196657 OWZ196640:OWZ196657 PGV196640:PGV196657 PQR196640:PQR196657 QAN196640:QAN196657 QKJ196640:QKJ196657 QUF196640:QUF196657 REB196640:REB196657 RNX196640:RNX196657 RXT196640:RXT196657 SHP196640:SHP196657 SRL196640:SRL196657 TBH196640:TBH196657 TLD196640:TLD196657 TUZ196640:TUZ196657 UEV196640:UEV196657 UOR196640:UOR196657 UYN196640:UYN196657 VIJ196640:VIJ196657 VSF196640:VSF196657 WCB196640:WCB196657 WLX196640:WLX196657 WVT196640:WVT196657 L262176:L262193 JH262176:JH262193 TD262176:TD262193 ACZ262176:ACZ262193 AMV262176:AMV262193 AWR262176:AWR262193 BGN262176:BGN262193 BQJ262176:BQJ262193 CAF262176:CAF262193 CKB262176:CKB262193 CTX262176:CTX262193 DDT262176:DDT262193 DNP262176:DNP262193 DXL262176:DXL262193 EHH262176:EHH262193 ERD262176:ERD262193 FAZ262176:FAZ262193 FKV262176:FKV262193 FUR262176:FUR262193 GEN262176:GEN262193 GOJ262176:GOJ262193 GYF262176:GYF262193 HIB262176:HIB262193 HRX262176:HRX262193 IBT262176:IBT262193 ILP262176:ILP262193 IVL262176:IVL262193 JFH262176:JFH262193 JPD262176:JPD262193 JYZ262176:JYZ262193 KIV262176:KIV262193 KSR262176:KSR262193 LCN262176:LCN262193 LMJ262176:LMJ262193 LWF262176:LWF262193 MGB262176:MGB262193 MPX262176:MPX262193 MZT262176:MZT262193 NJP262176:NJP262193 NTL262176:NTL262193 ODH262176:ODH262193 OND262176:OND262193 OWZ262176:OWZ262193 PGV262176:PGV262193 PQR262176:PQR262193 QAN262176:QAN262193 QKJ262176:QKJ262193 QUF262176:QUF262193 REB262176:REB262193 RNX262176:RNX262193 RXT262176:RXT262193 SHP262176:SHP262193 SRL262176:SRL262193 TBH262176:TBH262193 TLD262176:TLD262193 TUZ262176:TUZ262193 UEV262176:UEV262193 UOR262176:UOR262193 UYN262176:UYN262193 VIJ262176:VIJ262193 VSF262176:VSF262193 WCB262176:WCB262193 WLX262176:WLX262193 WVT262176:WVT262193 L327712:L327729 JH327712:JH327729 TD327712:TD327729 ACZ327712:ACZ327729 AMV327712:AMV327729 AWR327712:AWR327729 BGN327712:BGN327729 BQJ327712:BQJ327729 CAF327712:CAF327729 CKB327712:CKB327729 CTX327712:CTX327729 DDT327712:DDT327729 DNP327712:DNP327729 DXL327712:DXL327729 EHH327712:EHH327729 ERD327712:ERD327729 FAZ327712:FAZ327729 FKV327712:FKV327729 FUR327712:FUR327729 GEN327712:GEN327729 GOJ327712:GOJ327729 GYF327712:GYF327729 HIB327712:HIB327729 HRX327712:HRX327729 IBT327712:IBT327729 ILP327712:ILP327729 IVL327712:IVL327729 JFH327712:JFH327729 JPD327712:JPD327729 JYZ327712:JYZ327729 KIV327712:KIV327729 KSR327712:KSR327729 LCN327712:LCN327729 LMJ327712:LMJ327729 LWF327712:LWF327729 MGB327712:MGB327729 MPX327712:MPX327729 MZT327712:MZT327729 NJP327712:NJP327729 NTL327712:NTL327729 ODH327712:ODH327729 OND327712:OND327729 OWZ327712:OWZ327729 PGV327712:PGV327729 PQR327712:PQR327729 QAN327712:QAN327729 QKJ327712:QKJ327729 QUF327712:QUF327729 REB327712:REB327729 RNX327712:RNX327729 RXT327712:RXT327729 SHP327712:SHP327729 SRL327712:SRL327729 TBH327712:TBH327729 TLD327712:TLD327729 TUZ327712:TUZ327729 UEV327712:UEV327729 UOR327712:UOR327729 UYN327712:UYN327729 VIJ327712:VIJ327729 VSF327712:VSF327729 WCB327712:WCB327729 WLX327712:WLX327729 WVT327712:WVT327729 L393248:L393265 JH393248:JH393265 TD393248:TD393265 ACZ393248:ACZ393265 AMV393248:AMV393265 AWR393248:AWR393265 BGN393248:BGN393265 BQJ393248:BQJ393265 CAF393248:CAF393265 CKB393248:CKB393265 CTX393248:CTX393265 DDT393248:DDT393265 DNP393248:DNP393265 DXL393248:DXL393265 EHH393248:EHH393265 ERD393248:ERD393265 FAZ393248:FAZ393265 FKV393248:FKV393265 FUR393248:FUR393265 GEN393248:GEN393265 GOJ393248:GOJ393265 GYF393248:GYF393265 HIB393248:HIB393265 HRX393248:HRX393265 IBT393248:IBT393265 ILP393248:ILP393265 IVL393248:IVL393265 JFH393248:JFH393265 JPD393248:JPD393265 JYZ393248:JYZ393265 KIV393248:KIV393265 KSR393248:KSR393265 LCN393248:LCN393265 LMJ393248:LMJ393265 LWF393248:LWF393265 MGB393248:MGB393265 MPX393248:MPX393265 MZT393248:MZT393265 NJP393248:NJP393265 NTL393248:NTL393265 ODH393248:ODH393265 OND393248:OND393265 OWZ393248:OWZ393265 PGV393248:PGV393265 PQR393248:PQR393265 QAN393248:QAN393265 QKJ393248:QKJ393265 QUF393248:QUF393265 REB393248:REB393265 RNX393248:RNX393265 RXT393248:RXT393265 SHP393248:SHP393265 SRL393248:SRL393265 TBH393248:TBH393265 TLD393248:TLD393265 TUZ393248:TUZ393265 UEV393248:UEV393265 UOR393248:UOR393265 UYN393248:UYN393265 VIJ393248:VIJ393265 VSF393248:VSF393265 WCB393248:WCB393265 WLX393248:WLX393265 WVT393248:WVT393265 L458784:L458801 JH458784:JH458801 TD458784:TD458801 ACZ458784:ACZ458801 AMV458784:AMV458801 AWR458784:AWR458801 BGN458784:BGN458801 BQJ458784:BQJ458801 CAF458784:CAF458801 CKB458784:CKB458801 CTX458784:CTX458801 DDT458784:DDT458801 DNP458784:DNP458801 DXL458784:DXL458801 EHH458784:EHH458801 ERD458784:ERD458801 FAZ458784:FAZ458801 FKV458784:FKV458801 FUR458784:FUR458801 GEN458784:GEN458801 GOJ458784:GOJ458801 GYF458784:GYF458801 HIB458784:HIB458801 HRX458784:HRX458801 IBT458784:IBT458801 ILP458784:ILP458801 IVL458784:IVL458801 JFH458784:JFH458801 JPD458784:JPD458801 JYZ458784:JYZ458801 KIV458784:KIV458801 KSR458784:KSR458801 LCN458784:LCN458801 LMJ458784:LMJ458801 LWF458784:LWF458801 MGB458784:MGB458801 MPX458784:MPX458801 MZT458784:MZT458801 NJP458784:NJP458801 NTL458784:NTL458801 ODH458784:ODH458801 OND458784:OND458801 OWZ458784:OWZ458801 PGV458784:PGV458801 PQR458784:PQR458801 QAN458784:QAN458801 QKJ458784:QKJ458801 QUF458784:QUF458801 REB458784:REB458801 RNX458784:RNX458801 RXT458784:RXT458801 SHP458784:SHP458801 SRL458784:SRL458801 TBH458784:TBH458801 TLD458784:TLD458801 TUZ458784:TUZ458801 UEV458784:UEV458801 UOR458784:UOR458801 UYN458784:UYN458801 VIJ458784:VIJ458801 VSF458784:VSF458801 WCB458784:WCB458801 WLX458784:WLX458801 WVT458784:WVT458801 L524320:L524337 JH524320:JH524337 TD524320:TD524337 ACZ524320:ACZ524337 AMV524320:AMV524337 AWR524320:AWR524337 BGN524320:BGN524337 BQJ524320:BQJ524337 CAF524320:CAF524337 CKB524320:CKB524337 CTX524320:CTX524337 DDT524320:DDT524337 DNP524320:DNP524337 DXL524320:DXL524337 EHH524320:EHH524337 ERD524320:ERD524337 FAZ524320:FAZ524337 FKV524320:FKV524337 FUR524320:FUR524337 GEN524320:GEN524337 GOJ524320:GOJ524337 GYF524320:GYF524337 HIB524320:HIB524337 HRX524320:HRX524337 IBT524320:IBT524337 ILP524320:ILP524337 IVL524320:IVL524337 JFH524320:JFH524337 JPD524320:JPD524337 JYZ524320:JYZ524337 KIV524320:KIV524337 KSR524320:KSR524337 LCN524320:LCN524337 LMJ524320:LMJ524337 LWF524320:LWF524337 MGB524320:MGB524337 MPX524320:MPX524337 MZT524320:MZT524337 NJP524320:NJP524337 NTL524320:NTL524337 ODH524320:ODH524337 OND524320:OND524337 OWZ524320:OWZ524337 PGV524320:PGV524337 PQR524320:PQR524337 QAN524320:QAN524337 QKJ524320:QKJ524337 QUF524320:QUF524337 REB524320:REB524337 RNX524320:RNX524337 RXT524320:RXT524337 SHP524320:SHP524337 SRL524320:SRL524337 TBH524320:TBH524337 TLD524320:TLD524337 TUZ524320:TUZ524337 UEV524320:UEV524337 UOR524320:UOR524337 UYN524320:UYN524337 VIJ524320:VIJ524337 VSF524320:VSF524337 WCB524320:WCB524337 WLX524320:WLX524337 WVT524320:WVT524337 L589856:L589873 JH589856:JH589873 TD589856:TD589873 ACZ589856:ACZ589873 AMV589856:AMV589873 AWR589856:AWR589873 BGN589856:BGN589873 BQJ589856:BQJ589873 CAF589856:CAF589873 CKB589856:CKB589873 CTX589856:CTX589873 DDT589856:DDT589873 DNP589856:DNP589873 DXL589856:DXL589873 EHH589856:EHH589873 ERD589856:ERD589873 FAZ589856:FAZ589873 FKV589856:FKV589873 FUR589856:FUR589873 GEN589856:GEN589873 GOJ589856:GOJ589873 GYF589856:GYF589873 HIB589856:HIB589873 HRX589856:HRX589873 IBT589856:IBT589873 ILP589856:ILP589873 IVL589856:IVL589873 JFH589856:JFH589873 JPD589856:JPD589873 JYZ589856:JYZ589873 KIV589856:KIV589873 KSR589856:KSR589873 LCN589856:LCN589873 LMJ589856:LMJ589873 LWF589856:LWF589873 MGB589856:MGB589873 MPX589856:MPX589873 MZT589856:MZT589873 NJP589856:NJP589873 NTL589856:NTL589873 ODH589856:ODH589873 OND589856:OND589873 OWZ589856:OWZ589873 PGV589856:PGV589873 PQR589856:PQR589873 QAN589856:QAN589873 QKJ589856:QKJ589873 QUF589856:QUF589873 REB589856:REB589873 RNX589856:RNX589873 RXT589856:RXT589873 SHP589856:SHP589873 SRL589856:SRL589873 TBH589856:TBH589873 TLD589856:TLD589873 TUZ589856:TUZ589873 UEV589856:UEV589873 UOR589856:UOR589873 UYN589856:UYN589873 VIJ589856:VIJ589873 VSF589856:VSF589873 WCB589856:WCB589873 WLX589856:WLX589873 WVT589856:WVT589873 L655392:L655409 JH655392:JH655409 TD655392:TD655409 ACZ655392:ACZ655409 AMV655392:AMV655409 AWR655392:AWR655409 BGN655392:BGN655409 BQJ655392:BQJ655409 CAF655392:CAF655409 CKB655392:CKB655409 CTX655392:CTX655409 DDT655392:DDT655409 DNP655392:DNP655409 DXL655392:DXL655409 EHH655392:EHH655409 ERD655392:ERD655409 FAZ655392:FAZ655409 FKV655392:FKV655409 FUR655392:FUR655409 GEN655392:GEN655409 GOJ655392:GOJ655409 GYF655392:GYF655409 HIB655392:HIB655409 HRX655392:HRX655409 IBT655392:IBT655409 ILP655392:ILP655409 IVL655392:IVL655409 JFH655392:JFH655409 JPD655392:JPD655409 JYZ655392:JYZ655409 KIV655392:KIV655409 KSR655392:KSR655409 LCN655392:LCN655409 LMJ655392:LMJ655409 LWF655392:LWF655409 MGB655392:MGB655409 MPX655392:MPX655409 MZT655392:MZT655409 NJP655392:NJP655409 NTL655392:NTL655409 ODH655392:ODH655409 OND655392:OND655409 OWZ655392:OWZ655409 PGV655392:PGV655409 PQR655392:PQR655409 QAN655392:QAN655409 QKJ655392:QKJ655409 QUF655392:QUF655409 REB655392:REB655409 RNX655392:RNX655409 RXT655392:RXT655409 SHP655392:SHP655409 SRL655392:SRL655409 TBH655392:TBH655409 TLD655392:TLD655409 TUZ655392:TUZ655409 UEV655392:UEV655409 UOR655392:UOR655409 UYN655392:UYN655409 VIJ655392:VIJ655409 VSF655392:VSF655409 WCB655392:WCB655409 WLX655392:WLX655409 WVT655392:WVT655409 L720928:L720945 JH720928:JH720945 TD720928:TD720945 ACZ720928:ACZ720945 AMV720928:AMV720945 AWR720928:AWR720945 BGN720928:BGN720945 BQJ720928:BQJ720945 CAF720928:CAF720945 CKB720928:CKB720945 CTX720928:CTX720945 DDT720928:DDT720945 DNP720928:DNP720945 DXL720928:DXL720945 EHH720928:EHH720945 ERD720928:ERD720945 FAZ720928:FAZ720945 FKV720928:FKV720945 FUR720928:FUR720945 GEN720928:GEN720945 GOJ720928:GOJ720945 GYF720928:GYF720945 HIB720928:HIB720945 HRX720928:HRX720945 IBT720928:IBT720945 ILP720928:ILP720945 IVL720928:IVL720945 JFH720928:JFH720945 JPD720928:JPD720945 JYZ720928:JYZ720945 KIV720928:KIV720945 KSR720928:KSR720945 LCN720928:LCN720945 LMJ720928:LMJ720945 LWF720928:LWF720945 MGB720928:MGB720945 MPX720928:MPX720945 MZT720928:MZT720945 NJP720928:NJP720945 NTL720928:NTL720945 ODH720928:ODH720945 OND720928:OND720945 OWZ720928:OWZ720945 PGV720928:PGV720945 PQR720928:PQR720945 QAN720928:QAN720945 QKJ720928:QKJ720945 QUF720928:QUF720945 REB720928:REB720945 RNX720928:RNX720945 RXT720928:RXT720945 SHP720928:SHP720945 SRL720928:SRL720945 TBH720928:TBH720945 TLD720928:TLD720945 TUZ720928:TUZ720945 UEV720928:UEV720945 UOR720928:UOR720945 UYN720928:UYN720945 VIJ720928:VIJ720945 VSF720928:VSF720945 WCB720928:WCB720945 WLX720928:WLX720945 WVT720928:WVT720945 L786464:L786481 JH786464:JH786481 TD786464:TD786481 ACZ786464:ACZ786481 AMV786464:AMV786481 AWR786464:AWR786481 BGN786464:BGN786481 BQJ786464:BQJ786481 CAF786464:CAF786481 CKB786464:CKB786481 CTX786464:CTX786481 DDT786464:DDT786481 DNP786464:DNP786481 DXL786464:DXL786481 EHH786464:EHH786481 ERD786464:ERD786481 FAZ786464:FAZ786481 FKV786464:FKV786481 FUR786464:FUR786481 GEN786464:GEN786481 GOJ786464:GOJ786481 GYF786464:GYF786481 HIB786464:HIB786481 HRX786464:HRX786481 IBT786464:IBT786481 ILP786464:ILP786481 IVL786464:IVL786481 JFH786464:JFH786481 JPD786464:JPD786481 JYZ786464:JYZ786481 KIV786464:KIV786481 KSR786464:KSR786481 LCN786464:LCN786481 LMJ786464:LMJ786481 LWF786464:LWF786481 MGB786464:MGB786481 MPX786464:MPX786481 MZT786464:MZT786481 NJP786464:NJP786481 NTL786464:NTL786481 ODH786464:ODH786481 OND786464:OND786481 OWZ786464:OWZ786481 PGV786464:PGV786481 PQR786464:PQR786481 QAN786464:QAN786481 QKJ786464:QKJ786481 QUF786464:QUF786481 REB786464:REB786481 RNX786464:RNX786481 RXT786464:RXT786481 SHP786464:SHP786481 SRL786464:SRL786481 TBH786464:TBH786481 TLD786464:TLD786481 TUZ786464:TUZ786481 UEV786464:UEV786481 UOR786464:UOR786481 UYN786464:UYN786481 VIJ786464:VIJ786481 VSF786464:VSF786481 WCB786464:WCB786481 WLX786464:WLX786481 WVT786464:WVT786481 L852000:L852017 JH852000:JH852017 TD852000:TD852017 ACZ852000:ACZ852017 AMV852000:AMV852017 AWR852000:AWR852017 BGN852000:BGN852017 BQJ852000:BQJ852017 CAF852000:CAF852017 CKB852000:CKB852017 CTX852000:CTX852017 DDT852000:DDT852017 DNP852000:DNP852017 DXL852000:DXL852017 EHH852000:EHH852017 ERD852000:ERD852017 FAZ852000:FAZ852017 FKV852000:FKV852017 FUR852000:FUR852017 GEN852000:GEN852017 GOJ852000:GOJ852017 GYF852000:GYF852017 HIB852000:HIB852017 HRX852000:HRX852017 IBT852000:IBT852017 ILP852000:ILP852017 IVL852000:IVL852017 JFH852000:JFH852017 JPD852000:JPD852017 JYZ852000:JYZ852017 KIV852000:KIV852017 KSR852000:KSR852017 LCN852000:LCN852017 LMJ852000:LMJ852017 LWF852000:LWF852017 MGB852000:MGB852017 MPX852000:MPX852017 MZT852000:MZT852017 NJP852000:NJP852017 NTL852000:NTL852017 ODH852000:ODH852017 OND852000:OND852017 OWZ852000:OWZ852017 PGV852000:PGV852017 PQR852000:PQR852017 QAN852000:QAN852017 QKJ852000:QKJ852017 QUF852000:QUF852017 REB852000:REB852017 RNX852000:RNX852017 RXT852000:RXT852017 SHP852000:SHP852017 SRL852000:SRL852017 TBH852000:TBH852017 TLD852000:TLD852017 TUZ852000:TUZ852017 UEV852000:UEV852017 UOR852000:UOR852017 UYN852000:UYN852017 VIJ852000:VIJ852017 VSF852000:VSF852017 WCB852000:WCB852017 WLX852000:WLX852017 WVT852000:WVT852017 L917536:L917553 JH917536:JH917553 TD917536:TD917553 ACZ917536:ACZ917553 AMV917536:AMV917553 AWR917536:AWR917553 BGN917536:BGN917553 BQJ917536:BQJ917553 CAF917536:CAF917553 CKB917536:CKB917553 CTX917536:CTX917553 DDT917536:DDT917553 DNP917536:DNP917553 DXL917536:DXL917553 EHH917536:EHH917553 ERD917536:ERD917553 FAZ917536:FAZ917553 FKV917536:FKV917553 FUR917536:FUR917553 GEN917536:GEN917553 GOJ917536:GOJ917553 GYF917536:GYF917553 HIB917536:HIB917553 HRX917536:HRX917553 IBT917536:IBT917553 ILP917536:ILP917553 IVL917536:IVL917553 JFH917536:JFH917553 JPD917536:JPD917553 JYZ917536:JYZ917553 KIV917536:KIV917553 KSR917536:KSR917553 LCN917536:LCN917553 LMJ917536:LMJ917553 LWF917536:LWF917553 MGB917536:MGB917553 MPX917536:MPX917553 MZT917536:MZT917553 NJP917536:NJP917553 NTL917536:NTL917553 ODH917536:ODH917553 OND917536:OND917553 OWZ917536:OWZ917553 PGV917536:PGV917553 PQR917536:PQR917553 QAN917536:QAN917553 QKJ917536:QKJ917553 QUF917536:QUF917553 REB917536:REB917553 RNX917536:RNX917553 RXT917536:RXT917553 SHP917536:SHP917553 SRL917536:SRL917553 TBH917536:TBH917553 TLD917536:TLD917553 TUZ917536:TUZ917553 UEV917536:UEV917553 UOR917536:UOR917553 UYN917536:UYN917553 VIJ917536:VIJ917553 VSF917536:VSF917553 WCB917536:WCB917553 WLX917536:WLX917553 WVT917536:WVT917553 L983072:L983089 JH983072:JH983089 TD983072:TD983089 ACZ983072:ACZ983089 AMV983072:AMV983089 AWR983072:AWR983089 BGN983072:BGN983089 BQJ983072:BQJ983089 CAF983072:CAF983089 CKB983072:CKB983089 CTX983072:CTX983089 DDT983072:DDT983089 DNP983072:DNP983089 DXL983072:DXL983089 EHH983072:EHH983089 ERD983072:ERD983089 FAZ983072:FAZ983089 FKV983072:FKV983089 FUR983072:FUR983089 GEN983072:GEN983089 GOJ983072:GOJ983089 GYF983072:GYF983089 HIB983072:HIB983089 HRX983072:HRX983089 IBT983072:IBT983089 ILP983072:ILP983089 IVL983072:IVL983089 JFH983072:JFH983089 JPD983072:JPD983089 JYZ983072:JYZ983089 KIV983072:KIV983089 KSR983072:KSR983089 LCN983072:LCN983089 LMJ983072:LMJ983089 LWF983072:LWF983089 MGB983072:MGB983089 MPX983072:MPX983089 MZT983072:MZT983089 NJP983072:NJP983089 NTL983072:NTL983089 ODH983072:ODH983089 OND983072:OND983089 OWZ983072:OWZ983089 PGV983072:PGV983089 PQR983072:PQR983089 QAN983072:QAN983089 QKJ983072:QKJ983089 QUF983072:QUF983089 REB983072:REB983089 RNX983072:RNX983089 RXT983072:RXT983089 SHP983072:SHP983089 SRL983072:SRL983089 TBH983072:TBH983089 TLD983072:TLD983089 TUZ983072:TUZ983089 UEV983072:UEV983089 UOR983072:UOR983089 UYN983072:UYN983089 VIJ983072:VIJ983089 VSF983072:VSF983089 WCB983072:WCB983089 WLX983072:WLX983089 WVT983072:WVT983089">
      <formula1>$L$9:$L$25</formula1>
    </dataValidation>
  </dataValidations>
  <printOptions horizontalCentered="1"/>
  <pageMargins left="1" right="1" top="0.5" bottom="0.5" header="0.5" footer="0.5"/>
  <pageSetup scale="37" fitToHeight="1000" orientation="landscape" r:id="rId1"/>
  <headerFooter alignWithMargins="0"/>
  <rowBreaks count="1" manualBreakCount="1">
    <brk id="67" min="3" max="25" man="1"/>
  </rowBreaks>
  <legacyDrawing r:id="rId2"/>
</worksheet>
</file>

<file path=xl/worksheets/sheet4.xml><?xml version="1.0" encoding="utf-8"?>
<worksheet xmlns="http://schemas.openxmlformats.org/spreadsheetml/2006/main" xmlns:r="http://schemas.openxmlformats.org/officeDocument/2006/relationships">
  <sheetPr>
    <tabColor indexed="57"/>
    <pageSetUpPr fitToPage="1"/>
  </sheetPr>
  <dimension ref="A1:BA92"/>
  <sheetViews>
    <sheetView showGridLines="0" view="pageBreakPreview" topLeftCell="D1" zoomScale="85" zoomScaleNormal="70" zoomScaleSheetLayoutView="85" workbookViewId="0">
      <selection activeCell="I47" sqref="I47"/>
    </sheetView>
  </sheetViews>
  <sheetFormatPr defaultRowHeight="12.75" outlineLevelRow="1" outlineLevelCol="1"/>
  <cols>
    <col min="1" max="1" width="9.5703125" style="45" bestFit="1" customWidth="1"/>
    <col min="2" max="2" width="9.5703125" style="45" customWidth="1"/>
    <col min="3" max="3" width="9.140625" style="45"/>
    <col min="4" max="4" width="3.85546875" style="45" customWidth="1"/>
    <col min="5" max="5" width="17.7109375" style="47" customWidth="1"/>
    <col min="6" max="7" width="10.5703125" style="47" customWidth="1"/>
    <col min="8" max="8" width="3" style="47" customWidth="1"/>
    <col min="9" max="9" width="11.28515625" style="47" bestFit="1" customWidth="1"/>
    <col min="10" max="10" width="16.5703125" style="47" hidden="1" customWidth="1" outlineLevel="1"/>
    <col min="11" max="11" width="20.42578125" style="47" hidden="1" customWidth="1" outlineLevel="1"/>
    <col min="12" max="12" width="14" style="47" bestFit="1" customWidth="1" collapsed="1"/>
    <col min="13" max="13" width="14.7109375" style="47" bestFit="1" customWidth="1"/>
    <col min="14" max="14" width="12" style="47" customWidth="1"/>
    <col min="15" max="15" width="11.140625" style="47" customWidth="1" outlineLevel="1"/>
    <col min="16" max="16" width="9.85546875" style="47" customWidth="1" outlineLevel="1"/>
    <col min="17" max="17" width="9.85546875" style="47" bestFit="1" customWidth="1"/>
    <col min="18" max="18" width="16.5703125" style="47" bestFit="1" customWidth="1"/>
    <col min="19" max="19" width="20" style="47" bestFit="1" customWidth="1"/>
    <col min="20" max="20" width="10.5703125" style="47" bestFit="1" customWidth="1"/>
    <col min="21" max="23" width="12.42578125" style="47" bestFit="1" customWidth="1" outlineLevel="1"/>
    <col min="24" max="25" width="8.42578125" style="47" bestFit="1" customWidth="1" outlineLevel="1"/>
    <col min="26" max="26" width="10.5703125" style="47" customWidth="1"/>
    <col min="27" max="27" width="8.85546875" style="47" bestFit="1" customWidth="1"/>
    <col min="28" max="28" width="11.140625" style="47" customWidth="1"/>
    <col min="29" max="29" width="10" style="47" customWidth="1"/>
    <col min="30" max="30" width="10.42578125" style="47" customWidth="1"/>
    <col min="31" max="31" width="13.28515625" style="47" customWidth="1"/>
    <col min="32" max="32" width="12.42578125" style="47" customWidth="1" outlineLevel="1"/>
    <col min="33" max="35" width="10.7109375" style="47" customWidth="1" outlineLevel="1"/>
    <col min="36" max="36" width="9.85546875" style="47" customWidth="1" outlineLevel="1"/>
    <col min="37" max="42" width="11.140625" style="47" customWidth="1" outlineLevel="1"/>
    <col min="43" max="43" width="11.28515625" style="47" customWidth="1" outlineLevel="1"/>
    <col min="44" max="44" width="10.28515625" style="47" customWidth="1" outlineLevel="1"/>
    <col min="45" max="45" width="11.140625" style="47" customWidth="1" outlineLevel="1"/>
    <col min="46" max="46" width="10.7109375" style="47" customWidth="1" outlineLevel="1"/>
    <col min="47" max="47" width="3.5703125" style="45" customWidth="1" outlineLevel="1"/>
    <col min="48" max="48" width="13.7109375" style="47" customWidth="1" outlineLevel="1"/>
    <col min="49" max="49" width="13.7109375" style="45" customWidth="1"/>
    <col min="50" max="51" width="9.140625" style="45" customWidth="1"/>
    <col min="52" max="53" width="19.85546875" style="46" bestFit="1" customWidth="1"/>
    <col min="54" max="16384" width="9.140625" style="45"/>
  </cols>
  <sheetData>
    <row r="1" spans="1:53">
      <c r="E1" s="239" t="s">
        <v>185</v>
      </c>
      <c r="F1" s="236" t="s">
        <v>229</v>
      </c>
      <c r="G1" s="235"/>
      <c r="H1" s="235"/>
      <c r="I1" s="235"/>
      <c r="J1" s="238"/>
      <c r="K1" s="238"/>
      <c r="L1" s="235"/>
      <c r="M1" s="237" t="s">
        <v>184</v>
      </c>
      <c r="N1" s="236" t="s">
        <v>226</v>
      </c>
      <c r="O1" s="235"/>
      <c r="P1" s="235"/>
      <c r="Q1" s="235"/>
      <c r="R1" s="235"/>
      <c r="S1" s="235"/>
      <c r="T1" s="235"/>
      <c r="U1" s="235"/>
      <c r="V1" s="235"/>
      <c r="W1" s="235"/>
      <c r="X1" s="235"/>
      <c r="Y1" s="235"/>
      <c r="Z1" s="235"/>
      <c r="AA1" s="235"/>
      <c r="AB1" s="235"/>
      <c r="AC1" s="235"/>
      <c r="AD1" s="235"/>
      <c r="AE1" s="235"/>
      <c r="AF1" s="234"/>
      <c r="AZ1" s="233"/>
      <c r="BA1" s="233"/>
    </row>
    <row r="2" spans="1:53">
      <c r="E2" s="91" t="s">
        <v>183</v>
      </c>
      <c r="F2" s="319" t="s">
        <v>228</v>
      </c>
      <c r="G2" s="319"/>
      <c r="H2" s="319"/>
      <c r="I2" s="319"/>
      <c r="J2" s="319"/>
      <c r="K2" s="319"/>
      <c r="L2" s="320"/>
      <c r="M2" s="151" t="s">
        <v>182</v>
      </c>
      <c r="N2" s="232" t="s">
        <v>227</v>
      </c>
      <c r="O2" s="45"/>
      <c r="P2" s="45"/>
      <c r="Q2" s="45"/>
      <c r="R2" s="45"/>
      <c r="S2" s="45"/>
      <c r="T2" s="45"/>
      <c r="U2" s="45"/>
      <c r="V2" s="45"/>
      <c r="W2" s="45"/>
      <c r="X2" s="45"/>
      <c r="Y2" s="45"/>
      <c r="Z2" s="45"/>
      <c r="AA2" s="45"/>
      <c r="AB2" s="45"/>
      <c r="AC2" s="45"/>
      <c r="AD2" s="45"/>
      <c r="AE2" s="45"/>
      <c r="AF2" s="90"/>
    </row>
    <row r="3" spans="1:53" s="83" customFormat="1" ht="13.5" thickBot="1">
      <c r="A3" s="45"/>
      <c r="B3" s="45"/>
      <c r="C3" s="45"/>
      <c r="D3" s="45"/>
      <c r="E3" s="84" t="s">
        <v>181</v>
      </c>
      <c r="F3" s="231" t="s">
        <v>180</v>
      </c>
      <c r="J3" s="230"/>
      <c r="K3" s="230"/>
      <c r="M3" s="229"/>
      <c r="Q3" s="228"/>
      <c r="AF3" s="79"/>
      <c r="AK3" s="228"/>
      <c r="AL3" s="228"/>
      <c r="AM3" s="228"/>
      <c r="AN3" s="228"/>
      <c r="AO3" s="228"/>
      <c r="AP3" s="228"/>
      <c r="AZ3" s="227"/>
      <c r="BA3" s="227"/>
    </row>
    <row r="4" spans="1:53">
      <c r="E4" s="91"/>
      <c r="F4" s="45"/>
      <c r="G4" s="45"/>
      <c r="H4" s="45"/>
      <c r="I4" s="45"/>
      <c r="J4" s="226"/>
      <c r="K4" s="226"/>
      <c r="L4" s="45"/>
      <c r="M4" s="45"/>
      <c r="N4" s="45"/>
      <c r="O4" s="45"/>
      <c r="P4" s="45"/>
      <c r="Q4" s="45"/>
      <c r="R4" s="45"/>
      <c r="S4" s="45"/>
      <c r="T4" s="45"/>
      <c r="U4" s="45"/>
      <c r="V4" s="45"/>
      <c r="W4" s="45"/>
      <c r="X4" s="45"/>
      <c r="Y4" s="45"/>
      <c r="Z4" s="45"/>
      <c r="AA4" s="45"/>
      <c r="AB4" s="45"/>
      <c r="AC4" s="45"/>
      <c r="AD4" s="45"/>
      <c r="AE4" s="45"/>
      <c r="AF4" s="246"/>
      <c r="AT4" s="45"/>
    </row>
    <row r="5" spans="1:53" hidden="1" outlineLevel="1">
      <c r="E5" s="91"/>
      <c r="F5" s="45"/>
      <c r="G5" s="45"/>
      <c r="H5" s="45"/>
      <c r="I5" s="45"/>
      <c r="J5" s="225"/>
      <c r="K5" s="225"/>
      <c r="L5" s="224"/>
      <c r="M5" s="45"/>
      <c r="N5" s="146" t="str">
        <f>N28&amp;"%"</f>
        <v>B%</v>
      </c>
      <c r="O5" s="146" t="str">
        <f>O28&amp;"%"</f>
        <v>%</v>
      </c>
      <c r="P5" s="146" t="str">
        <f>P28&amp;"%"</f>
        <v>%</v>
      </c>
      <c r="Q5" s="146" t="str">
        <f>Q28&amp;"%"</f>
        <v>C%</v>
      </c>
      <c r="R5" s="146" t="str">
        <f>R28&amp;"%"</f>
        <v>D%</v>
      </c>
      <c r="S5" s="146"/>
      <c r="T5" s="146"/>
      <c r="U5" s="146" t="str">
        <f t="shared" ref="U5:Z5" si="0">U28&amp;"%"</f>
        <v>%</v>
      </c>
      <c r="V5" s="146" t="str">
        <f t="shared" si="0"/>
        <v>%</v>
      </c>
      <c r="W5" s="146" t="str">
        <f t="shared" si="0"/>
        <v>%</v>
      </c>
      <c r="X5" s="146" t="str">
        <f t="shared" si="0"/>
        <v>%</v>
      </c>
      <c r="Y5" s="146" t="str">
        <f t="shared" si="0"/>
        <v>%</v>
      </c>
      <c r="Z5" s="146" t="str">
        <f t="shared" si="0"/>
        <v>E%</v>
      </c>
      <c r="AA5" s="146"/>
      <c r="AB5" s="146" t="str">
        <f>AB28&amp;"%"</f>
        <v>G%</v>
      </c>
      <c r="AC5" s="45"/>
      <c r="AD5" s="45"/>
      <c r="AE5" s="45"/>
      <c r="AF5" s="246"/>
      <c r="AJ5" s="146"/>
      <c r="AK5" s="146"/>
      <c r="AL5" s="146"/>
      <c r="AM5" s="146"/>
      <c r="AN5" s="146"/>
      <c r="AO5" s="146"/>
      <c r="AP5" s="146"/>
      <c r="AQ5" s="146"/>
      <c r="AR5" s="146"/>
      <c r="AS5" s="146"/>
      <c r="AT5" s="220"/>
      <c r="AU5" s="143"/>
    </row>
    <row r="6" spans="1:53" hidden="1" outlineLevel="1">
      <c r="E6" s="91"/>
      <c r="F6" s="45"/>
      <c r="G6" s="45"/>
      <c r="H6" s="45"/>
      <c r="I6" s="223"/>
      <c r="J6" s="221"/>
      <c r="K6" s="146"/>
      <c r="L6" s="222">
        <f t="shared" ref="L6:R6" ca="1" si="1">COLUMN(L6)-COLUMN(OFFSET($L6,0,-1))</f>
        <v>1</v>
      </c>
      <c r="M6" s="222">
        <f t="shared" ca="1" si="1"/>
        <v>2</v>
      </c>
      <c r="N6" s="222">
        <f t="shared" ca="1" si="1"/>
        <v>3</v>
      </c>
      <c r="O6" s="222">
        <f t="shared" ca="1" si="1"/>
        <v>4</v>
      </c>
      <c r="P6" s="222">
        <f t="shared" ca="1" si="1"/>
        <v>5</v>
      </c>
      <c r="Q6" s="222">
        <f t="shared" ca="1" si="1"/>
        <v>6</v>
      </c>
      <c r="R6" s="222">
        <f t="shared" ca="1" si="1"/>
        <v>7</v>
      </c>
      <c r="S6" s="222"/>
      <c r="T6" s="222"/>
      <c r="U6" s="222">
        <f t="shared" ref="U6:Z6" ca="1" si="2">COLUMN(U6)-COLUMN(OFFSET($L6,0,-1))</f>
        <v>10</v>
      </c>
      <c r="V6" s="222">
        <f t="shared" ca="1" si="2"/>
        <v>11</v>
      </c>
      <c r="W6" s="222">
        <f t="shared" ca="1" si="2"/>
        <v>12</v>
      </c>
      <c r="X6" s="222">
        <f t="shared" ca="1" si="2"/>
        <v>13</v>
      </c>
      <c r="Y6" s="222">
        <f t="shared" ca="1" si="2"/>
        <v>14</v>
      </c>
      <c r="Z6" s="222">
        <f t="shared" ca="1" si="2"/>
        <v>15</v>
      </c>
      <c r="AA6" s="222"/>
      <c r="AB6" s="222">
        <f ca="1">COLUMN(AB6)-COLUMN(OFFSET($L6,0,-1))</f>
        <v>17</v>
      </c>
      <c r="AC6" s="45"/>
      <c r="AD6" s="45"/>
      <c r="AE6" s="45"/>
      <c r="AF6" s="246"/>
      <c r="AG6" s="221"/>
      <c r="AH6" s="221"/>
      <c r="AI6" s="221"/>
      <c r="AJ6" s="146"/>
      <c r="AK6" s="146"/>
      <c r="AL6" s="146"/>
      <c r="AM6" s="146"/>
      <c r="AN6" s="146"/>
      <c r="AO6" s="146"/>
      <c r="AP6" s="146"/>
      <c r="AQ6" s="146"/>
      <c r="AR6" s="146"/>
      <c r="AS6" s="146"/>
      <c r="AT6" s="220"/>
      <c r="AU6" s="143"/>
    </row>
    <row r="7" spans="1:53" collapsed="1">
      <c r="E7" s="219"/>
      <c r="F7" s="139" t="s">
        <v>179</v>
      </c>
      <c r="G7" s="139" t="s">
        <v>178</v>
      </c>
      <c r="H7" s="139"/>
      <c r="I7" s="69"/>
      <c r="J7" s="213"/>
      <c r="K7" s="213"/>
      <c r="L7" s="218"/>
      <c r="M7" s="217"/>
      <c r="N7" s="217"/>
      <c r="O7" s="217"/>
      <c r="P7" s="217"/>
      <c r="Q7" s="217" t="s">
        <v>261</v>
      </c>
      <c r="R7" s="217"/>
      <c r="S7" s="217"/>
      <c r="T7" s="217"/>
      <c r="U7" s="217"/>
      <c r="V7" s="217"/>
      <c r="W7" s="217"/>
      <c r="X7" s="217"/>
      <c r="Y7" s="217"/>
      <c r="Z7" s="217" t="str">
        <f>$Q7</f>
        <v>Contr/Govt</v>
      </c>
      <c r="AA7" s="217"/>
      <c r="AB7" s="216"/>
      <c r="AC7" s="45"/>
      <c r="AD7" s="45"/>
      <c r="AE7" s="45"/>
      <c r="AF7" s="215"/>
      <c r="AG7" s="213"/>
      <c r="AH7" s="213"/>
      <c r="AI7" s="213"/>
      <c r="AJ7" s="213"/>
      <c r="AK7" s="213"/>
      <c r="AL7" s="213"/>
      <c r="AM7" s="213"/>
      <c r="AN7" s="213"/>
      <c r="AO7" s="213"/>
      <c r="AP7" s="213"/>
      <c r="AQ7" s="213"/>
      <c r="AR7" s="213"/>
      <c r="AS7" s="212"/>
      <c r="AT7" s="151"/>
    </row>
    <row r="8" spans="1:53" ht="14.25" customHeight="1">
      <c r="E8" s="211" t="s">
        <v>268</v>
      </c>
      <c r="F8" s="210">
        <v>40909</v>
      </c>
      <c r="G8" s="209">
        <v>41152</v>
      </c>
      <c r="H8" s="208"/>
      <c r="I8" s="164"/>
      <c r="J8" s="205" t="s">
        <v>177</v>
      </c>
      <c r="K8" s="205" t="s">
        <v>176</v>
      </c>
      <c r="L8" s="75" t="s">
        <v>175</v>
      </c>
      <c r="M8" s="205" t="s">
        <v>174</v>
      </c>
      <c r="N8" s="205" t="s">
        <v>173</v>
      </c>
      <c r="O8" s="205" t="s">
        <v>172</v>
      </c>
      <c r="P8" s="205" t="s">
        <v>171</v>
      </c>
      <c r="Q8" s="205" t="s">
        <v>170</v>
      </c>
      <c r="R8" s="205" t="s">
        <v>169</v>
      </c>
      <c r="S8" s="205" t="s">
        <v>168</v>
      </c>
      <c r="T8" s="205" t="s">
        <v>167</v>
      </c>
      <c r="U8" s="205" t="s">
        <v>166</v>
      </c>
      <c r="V8" s="205" t="s">
        <v>165</v>
      </c>
      <c r="W8" s="205" t="s">
        <v>164</v>
      </c>
      <c r="X8" s="205" t="s">
        <v>163</v>
      </c>
      <c r="Y8" s="205" t="s">
        <v>162</v>
      </c>
      <c r="Z8" s="205" t="s">
        <v>161</v>
      </c>
      <c r="AA8" s="205" t="s">
        <v>160</v>
      </c>
      <c r="AB8" s="71" t="s">
        <v>159</v>
      </c>
      <c r="AC8" s="45"/>
      <c r="AD8" s="45"/>
      <c r="AE8" s="45"/>
      <c r="AF8" s="207" t="s">
        <v>158</v>
      </c>
      <c r="AG8" s="205"/>
      <c r="AH8" s="205"/>
      <c r="AI8" s="205"/>
      <c r="AJ8" s="205"/>
      <c r="AK8" s="205"/>
      <c r="AL8" s="205"/>
      <c r="AM8" s="205"/>
      <c r="AN8" s="205"/>
      <c r="AO8" s="205"/>
      <c r="AP8" s="205"/>
      <c r="AQ8" s="205"/>
      <c r="AR8" s="205"/>
      <c r="AS8" s="205"/>
      <c r="AT8" s="151"/>
    </row>
    <row r="9" spans="1:53" hidden="1">
      <c r="B9" s="45">
        <v>750</v>
      </c>
      <c r="E9" s="91"/>
      <c r="F9" s="45"/>
      <c r="G9" s="45"/>
      <c r="H9" s="45"/>
      <c r="I9" s="164"/>
      <c r="J9" s="193" t="s">
        <v>262</v>
      </c>
      <c r="K9" s="192" t="s">
        <v>157</v>
      </c>
      <c r="L9" s="172" t="s">
        <v>157</v>
      </c>
      <c r="M9" s="190">
        <v>3.3000000000000002E-2</v>
      </c>
      <c r="N9" s="189">
        <v>1.0890977106249997</v>
      </c>
      <c r="O9" s="188">
        <v>0.35</v>
      </c>
      <c r="P9" s="188">
        <v>0.35</v>
      </c>
      <c r="Q9" s="184">
        <v>0.31240000000000001</v>
      </c>
      <c r="R9" s="184">
        <v>0.1988</v>
      </c>
      <c r="S9" s="184"/>
      <c r="T9" s="184"/>
      <c r="U9" s="203">
        <v>5000</v>
      </c>
      <c r="V9" s="203">
        <v>5000</v>
      </c>
      <c r="W9" s="188">
        <v>0.35</v>
      </c>
      <c r="X9" s="188">
        <v>0.35</v>
      </c>
      <c r="Y9" s="188">
        <v>0.35</v>
      </c>
      <c r="Z9" s="184">
        <v>8.9499999999999996E-2</v>
      </c>
      <c r="AA9" s="187"/>
      <c r="AB9" s="167">
        <v>0.15</v>
      </c>
      <c r="AC9" s="45"/>
      <c r="AD9" s="45"/>
      <c r="AE9" s="45"/>
      <c r="AF9" s="195">
        <f t="shared" ref="AF9:AF24" si="3">IF(M9="","",M9)</f>
        <v>3.3000000000000002E-2</v>
      </c>
      <c r="AG9" s="243"/>
      <c r="AH9" s="243"/>
      <c r="AI9" s="243"/>
      <c r="AJ9" s="184"/>
      <c r="AK9" s="184"/>
      <c r="AL9" s="184"/>
      <c r="AM9" s="184"/>
      <c r="AN9" s="184"/>
      <c r="AO9" s="184"/>
      <c r="AP9" s="184"/>
      <c r="AQ9" s="184"/>
      <c r="AR9" s="184"/>
      <c r="AS9" s="184"/>
      <c r="AT9" s="151"/>
    </row>
    <row r="10" spans="1:53" ht="15" customHeight="1">
      <c r="B10" s="45">
        <f>B9/3</f>
        <v>250</v>
      </c>
      <c r="E10" s="91"/>
      <c r="F10" s="45"/>
      <c r="G10" s="45"/>
      <c r="H10" s="45"/>
      <c r="I10" s="164"/>
      <c r="J10" s="174" t="str">
        <f>J$9</f>
        <v>IS</v>
      </c>
      <c r="K10" s="173" t="s">
        <v>120</v>
      </c>
      <c r="L10" s="200" t="s">
        <v>120</v>
      </c>
      <c r="M10" s="190">
        <v>3.3000000000000002E-2</v>
      </c>
      <c r="N10" s="189">
        <v>1.0890977106249997</v>
      </c>
      <c r="O10" s="197">
        <v>0.35</v>
      </c>
      <c r="P10" s="197">
        <v>0.35</v>
      </c>
      <c r="Q10" s="184">
        <v>0.31240000000000001</v>
      </c>
      <c r="R10" s="184">
        <v>2.23E-2</v>
      </c>
      <c r="S10" s="204">
        <f ca="1">+AE48</f>
        <v>14924</v>
      </c>
      <c r="T10" s="204">
        <f ca="1">+AE49</f>
        <v>3960.24</v>
      </c>
      <c r="U10" s="245">
        <v>0</v>
      </c>
      <c r="V10" s="203">
        <v>5000</v>
      </c>
      <c r="W10" s="202">
        <f>75.04*8</f>
        <v>600.32000000000005</v>
      </c>
      <c r="X10" s="197">
        <v>1.9E-2</v>
      </c>
      <c r="Y10" s="201">
        <v>2265.8000000000002</v>
      </c>
      <c r="Z10" s="184">
        <v>8.9499999999999996E-2</v>
      </c>
      <c r="AA10" s="196"/>
      <c r="AB10" s="186">
        <f>'Pricing Summary'!C52</f>
        <v>0.08</v>
      </c>
      <c r="AC10" s="45"/>
      <c r="AD10" s="45"/>
      <c r="AE10" s="45"/>
      <c r="AF10" s="195">
        <f t="shared" si="3"/>
        <v>3.3000000000000002E-2</v>
      </c>
      <c r="AG10" s="244"/>
      <c r="AH10" s="244"/>
      <c r="AI10" s="244"/>
      <c r="AJ10" s="184"/>
      <c r="AK10" s="184"/>
      <c r="AL10" s="184"/>
      <c r="AM10" s="184"/>
      <c r="AN10" s="184"/>
      <c r="AO10" s="184"/>
      <c r="AP10" s="184"/>
      <c r="AQ10" s="184"/>
      <c r="AR10" s="184"/>
      <c r="AS10" s="184"/>
      <c r="AT10" s="151"/>
    </row>
    <row r="11" spans="1:53" hidden="1" outlineLevel="1">
      <c r="E11" s="91"/>
      <c r="F11" s="45"/>
      <c r="G11" s="45"/>
      <c r="H11" s="45"/>
      <c r="I11" s="164"/>
      <c r="J11" s="174" t="str">
        <f>J$9</f>
        <v>IS</v>
      </c>
      <c r="K11" s="173" t="str">
        <f>K$9</f>
        <v>Contr</v>
      </c>
      <c r="L11" s="200" t="s">
        <v>156</v>
      </c>
      <c r="M11" s="199">
        <v>0</v>
      </c>
      <c r="N11" s="198">
        <v>1</v>
      </c>
      <c r="O11" s="188">
        <v>0</v>
      </c>
      <c r="P11" s="197">
        <v>0</v>
      </c>
      <c r="Q11" s="184">
        <v>0.31240000000000001</v>
      </c>
      <c r="R11" s="184">
        <v>0.1988</v>
      </c>
      <c r="S11" s="184"/>
      <c r="T11" s="184"/>
      <c r="U11" s="197">
        <v>0</v>
      </c>
      <c r="V11" s="197">
        <v>0</v>
      </c>
      <c r="W11" s="197">
        <v>0</v>
      </c>
      <c r="X11" s="197">
        <v>0</v>
      </c>
      <c r="Y11" s="197">
        <v>0</v>
      </c>
      <c r="Z11" s="184">
        <v>8.9499999999999996E-2</v>
      </c>
      <c r="AA11" s="196"/>
      <c r="AB11" s="186">
        <f t="shared" ref="AB11:AB20" si="4">AB10</f>
        <v>0.08</v>
      </c>
      <c r="AC11" s="45"/>
      <c r="AD11" s="45"/>
      <c r="AE11" s="45"/>
      <c r="AF11" s="195">
        <f t="shared" si="3"/>
        <v>0</v>
      </c>
      <c r="AG11" s="244"/>
      <c r="AH11" s="244"/>
      <c r="AI11" s="244"/>
      <c r="AJ11" s="184"/>
      <c r="AK11" s="184"/>
      <c r="AL11" s="184"/>
      <c r="AM11" s="184"/>
      <c r="AN11" s="184"/>
      <c r="AO11" s="184"/>
      <c r="AP11" s="184"/>
      <c r="AQ11" s="184"/>
      <c r="AR11" s="184"/>
      <c r="AS11" s="184"/>
      <c r="AT11" s="151"/>
    </row>
    <row r="12" spans="1:53" hidden="1" outlineLevel="1">
      <c r="E12" s="91"/>
      <c r="F12" s="45"/>
      <c r="G12" s="45"/>
      <c r="H12" s="45"/>
      <c r="I12" s="164"/>
      <c r="J12" s="174" t="str">
        <f>J$9</f>
        <v>IS</v>
      </c>
      <c r="K12" s="173" t="str">
        <f>K$10</f>
        <v>Govt</v>
      </c>
      <c r="L12" s="200" t="s">
        <v>155</v>
      </c>
      <c r="M12" s="199">
        <v>0</v>
      </c>
      <c r="N12" s="198">
        <v>1</v>
      </c>
      <c r="O12" s="197">
        <v>0</v>
      </c>
      <c r="P12" s="197">
        <v>0</v>
      </c>
      <c r="Q12" s="184">
        <v>0.31240000000000001</v>
      </c>
      <c r="R12" s="184">
        <v>2.23E-2</v>
      </c>
      <c r="S12" s="184"/>
      <c r="T12" s="184"/>
      <c r="U12" s="197">
        <v>0</v>
      </c>
      <c r="V12" s="197">
        <v>0</v>
      </c>
      <c r="W12" s="197">
        <v>0</v>
      </c>
      <c r="X12" s="197">
        <v>0</v>
      </c>
      <c r="Y12" s="197">
        <v>0</v>
      </c>
      <c r="Z12" s="184">
        <v>8.9499999999999996E-2</v>
      </c>
      <c r="AA12" s="196"/>
      <c r="AB12" s="186">
        <f t="shared" si="4"/>
        <v>0.08</v>
      </c>
      <c r="AC12" s="45"/>
      <c r="AD12" s="45"/>
      <c r="AE12" s="45"/>
      <c r="AF12" s="195">
        <f t="shared" si="3"/>
        <v>0</v>
      </c>
      <c r="AG12" s="244"/>
      <c r="AH12" s="244"/>
      <c r="AI12" s="244"/>
      <c r="AJ12" s="184"/>
      <c r="AK12" s="184"/>
      <c r="AL12" s="184"/>
      <c r="AM12" s="184"/>
      <c r="AN12" s="184"/>
      <c r="AO12" s="184"/>
      <c r="AP12" s="184"/>
      <c r="AQ12" s="184"/>
      <c r="AR12" s="184"/>
      <c r="AS12" s="184"/>
      <c r="AT12" s="151"/>
    </row>
    <row r="13" spans="1:53" hidden="1" outlineLevel="1">
      <c r="E13" s="91"/>
      <c r="F13" s="45"/>
      <c r="G13" s="45"/>
      <c r="H13" s="45"/>
      <c r="I13" s="164"/>
      <c r="J13" s="174" t="s">
        <v>263</v>
      </c>
      <c r="K13" s="173" t="str">
        <f>K$9</f>
        <v>Contr</v>
      </c>
      <c r="L13" s="200" t="s">
        <v>154</v>
      </c>
      <c r="M13" s="190">
        <v>3.3000000000000002E-2</v>
      </c>
      <c r="N13" s="189">
        <v>1.0890977106249997</v>
      </c>
      <c r="O13" s="188">
        <v>0</v>
      </c>
      <c r="P13" s="188">
        <v>0</v>
      </c>
      <c r="Q13" s="184">
        <v>0.35099999999999998</v>
      </c>
      <c r="R13" s="184">
        <v>0.17249999999999999</v>
      </c>
      <c r="S13" s="184"/>
      <c r="T13" s="184"/>
      <c r="U13" s="188">
        <v>0</v>
      </c>
      <c r="V13" s="188">
        <v>0</v>
      </c>
      <c r="W13" s="188">
        <v>0</v>
      </c>
      <c r="X13" s="188">
        <v>0</v>
      </c>
      <c r="Y13" s="188">
        <v>0</v>
      </c>
      <c r="Z13" s="184">
        <v>8.7999999999999995E-2</v>
      </c>
      <c r="AA13" s="196"/>
      <c r="AB13" s="186">
        <f t="shared" si="4"/>
        <v>0.08</v>
      </c>
      <c r="AC13" s="45"/>
      <c r="AD13" s="45"/>
      <c r="AE13" s="45"/>
      <c r="AF13" s="195">
        <f t="shared" si="3"/>
        <v>3.3000000000000002E-2</v>
      </c>
      <c r="AG13" s="244"/>
      <c r="AH13" s="244"/>
      <c r="AI13" s="244"/>
      <c r="AJ13" s="184"/>
      <c r="AK13" s="184"/>
      <c r="AL13" s="184"/>
      <c r="AM13" s="184"/>
      <c r="AN13" s="184"/>
      <c r="AO13" s="184"/>
      <c r="AP13" s="184"/>
      <c r="AQ13" s="184"/>
      <c r="AR13" s="184"/>
      <c r="AS13" s="184"/>
      <c r="AT13" s="151"/>
    </row>
    <row r="14" spans="1:53" hidden="1" outlineLevel="1">
      <c r="E14" s="91"/>
      <c r="F14" s="45"/>
      <c r="G14" s="45"/>
      <c r="H14" s="45"/>
      <c r="I14" s="164"/>
      <c r="J14" s="174" t="str">
        <f>J13</f>
        <v>ESD</v>
      </c>
      <c r="K14" s="173" t="str">
        <f>K$10</f>
        <v>Govt</v>
      </c>
      <c r="L14" s="200" t="s">
        <v>153</v>
      </c>
      <c r="M14" s="190">
        <v>3.3000000000000002E-2</v>
      </c>
      <c r="N14" s="189">
        <v>1.0890977106249997</v>
      </c>
      <c r="O14" s="197">
        <v>0</v>
      </c>
      <c r="P14" s="197">
        <v>0</v>
      </c>
      <c r="Q14" s="184">
        <v>0.35099999999999998</v>
      </c>
      <c r="R14" s="184">
        <v>3.1E-2</v>
      </c>
      <c r="S14" s="184"/>
      <c r="T14" s="184"/>
      <c r="U14" s="197">
        <v>0</v>
      </c>
      <c r="V14" s="197">
        <v>0</v>
      </c>
      <c r="W14" s="197">
        <v>0</v>
      </c>
      <c r="X14" s="197">
        <v>0</v>
      </c>
      <c r="Y14" s="197">
        <v>0</v>
      </c>
      <c r="Z14" s="184">
        <v>8.7999999999999995E-2</v>
      </c>
      <c r="AA14" s="196"/>
      <c r="AB14" s="186">
        <f t="shared" si="4"/>
        <v>0.08</v>
      </c>
      <c r="AC14" s="45"/>
      <c r="AD14" s="45"/>
      <c r="AE14" s="45"/>
      <c r="AF14" s="195">
        <f t="shared" si="3"/>
        <v>3.3000000000000002E-2</v>
      </c>
      <c r="AG14" s="244"/>
      <c r="AH14" s="244"/>
      <c r="AI14" s="244"/>
      <c r="AJ14" s="184"/>
      <c r="AK14" s="184"/>
      <c r="AL14" s="184"/>
      <c r="AM14" s="184"/>
      <c r="AN14" s="184"/>
      <c r="AO14" s="184"/>
      <c r="AP14" s="184"/>
      <c r="AQ14" s="184"/>
      <c r="AR14" s="184"/>
      <c r="AS14" s="184"/>
      <c r="AT14" s="151"/>
    </row>
    <row r="15" spans="1:53" hidden="1" outlineLevel="1">
      <c r="E15" s="91"/>
      <c r="F15" s="45"/>
      <c r="G15" s="45"/>
      <c r="H15" s="45"/>
      <c r="I15" s="164"/>
      <c r="J15" s="174" t="s">
        <v>263</v>
      </c>
      <c r="K15" s="173" t="str">
        <f>K$9</f>
        <v>Contr</v>
      </c>
      <c r="L15" s="200" t="s">
        <v>152</v>
      </c>
      <c r="M15" s="190">
        <v>3.3000000000000002E-2</v>
      </c>
      <c r="N15" s="189">
        <v>1.0890977106249997</v>
      </c>
      <c r="O15" s="188">
        <v>0</v>
      </c>
      <c r="P15" s="188">
        <v>0</v>
      </c>
      <c r="Q15" s="184">
        <v>0.35099999999999998</v>
      </c>
      <c r="R15" s="184">
        <v>0.17249999999999999</v>
      </c>
      <c r="S15" s="184"/>
      <c r="T15" s="184"/>
      <c r="U15" s="188">
        <v>0</v>
      </c>
      <c r="V15" s="188">
        <v>0</v>
      </c>
      <c r="W15" s="188">
        <v>0</v>
      </c>
      <c r="X15" s="188">
        <v>0</v>
      </c>
      <c r="Y15" s="188">
        <v>0</v>
      </c>
      <c r="Z15" s="184">
        <v>8.7999999999999995E-2</v>
      </c>
      <c r="AA15" s="196"/>
      <c r="AB15" s="186">
        <f t="shared" si="4"/>
        <v>0.08</v>
      </c>
      <c r="AC15" s="45"/>
      <c r="AD15" s="45"/>
      <c r="AE15" s="45"/>
      <c r="AF15" s="195">
        <f t="shared" si="3"/>
        <v>3.3000000000000002E-2</v>
      </c>
      <c r="AG15" s="244"/>
      <c r="AH15" s="244"/>
      <c r="AI15" s="244"/>
      <c r="AJ15" s="184"/>
      <c r="AK15" s="184"/>
      <c r="AL15" s="184"/>
      <c r="AM15" s="184"/>
      <c r="AN15" s="184"/>
      <c r="AO15" s="184"/>
      <c r="AP15" s="184"/>
      <c r="AQ15" s="184"/>
      <c r="AR15" s="184"/>
      <c r="AS15" s="184"/>
      <c r="AT15" s="151"/>
    </row>
    <row r="16" spans="1:53" hidden="1" outlineLevel="1">
      <c r="E16" s="91"/>
      <c r="F16" s="45"/>
      <c r="G16" s="45"/>
      <c r="H16" s="45"/>
      <c r="I16" s="164"/>
      <c r="J16" s="174" t="str">
        <f>J15</f>
        <v>ESD</v>
      </c>
      <c r="K16" s="173" t="str">
        <f>K$10</f>
        <v>Govt</v>
      </c>
      <c r="L16" s="200" t="s">
        <v>151</v>
      </c>
      <c r="M16" s="190">
        <v>3.3000000000000002E-2</v>
      </c>
      <c r="N16" s="189">
        <v>1.0890977106249997</v>
      </c>
      <c r="O16" s="197">
        <v>0</v>
      </c>
      <c r="P16" s="197">
        <v>0</v>
      </c>
      <c r="Q16" s="184">
        <v>0.35099999999999998</v>
      </c>
      <c r="R16" s="184">
        <v>3.1E-2</v>
      </c>
      <c r="S16" s="184"/>
      <c r="T16" s="184"/>
      <c r="U16" s="197">
        <v>0</v>
      </c>
      <c r="V16" s="197">
        <v>0</v>
      </c>
      <c r="W16" s="197">
        <v>0</v>
      </c>
      <c r="X16" s="197">
        <v>0</v>
      </c>
      <c r="Y16" s="197">
        <v>0</v>
      </c>
      <c r="Z16" s="184">
        <v>8.7999999999999995E-2</v>
      </c>
      <c r="AA16" s="196"/>
      <c r="AB16" s="186">
        <f t="shared" si="4"/>
        <v>0.08</v>
      </c>
      <c r="AC16" s="45"/>
      <c r="AD16" s="45"/>
      <c r="AE16" s="45"/>
      <c r="AF16" s="195">
        <f t="shared" si="3"/>
        <v>3.3000000000000002E-2</v>
      </c>
      <c r="AG16" s="244"/>
      <c r="AH16" s="244"/>
      <c r="AI16" s="244"/>
      <c r="AJ16" s="184"/>
      <c r="AK16" s="184"/>
      <c r="AL16" s="184"/>
      <c r="AM16" s="184"/>
      <c r="AN16" s="184"/>
      <c r="AO16" s="184"/>
      <c r="AP16" s="184"/>
      <c r="AQ16" s="184"/>
      <c r="AR16" s="184"/>
      <c r="AS16" s="184"/>
      <c r="AT16" s="151"/>
    </row>
    <row r="17" spans="4:53" hidden="1" outlineLevel="1">
      <c r="E17" s="91"/>
      <c r="F17" s="45"/>
      <c r="G17" s="45"/>
      <c r="H17" s="45"/>
      <c r="I17" s="164"/>
      <c r="J17" s="174" t="str">
        <f>J$9</f>
        <v>IS</v>
      </c>
      <c r="K17" s="173" t="str">
        <f>K$9</f>
        <v>Contr</v>
      </c>
      <c r="L17" s="200" t="s">
        <v>150</v>
      </c>
      <c r="M17" s="190">
        <v>3.3000000000000002E-2</v>
      </c>
      <c r="N17" s="189">
        <v>1.0890977106249997</v>
      </c>
      <c r="O17" s="197">
        <v>0.5</v>
      </c>
      <c r="P17" s="197">
        <v>0</v>
      </c>
      <c r="Q17" s="184">
        <v>0.31240000000000001</v>
      </c>
      <c r="R17" s="184">
        <v>0.1988</v>
      </c>
      <c r="S17" s="184"/>
      <c r="T17" s="184"/>
      <c r="U17" s="197">
        <v>0</v>
      </c>
      <c r="V17" s="197">
        <v>0</v>
      </c>
      <c r="W17" s="197">
        <v>0</v>
      </c>
      <c r="X17" s="197">
        <v>0</v>
      </c>
      <c r="Y17" s="197">
        <v>0</v>
      </c>
      <c r="Z17" s="184">
        <v>8.9499999999999996E-2</v>
      </c>
      <c r="AA17" s="196"/>
      <c r="AB17" s="186">
        <f t="shared" si="4"/>
        <v>0.08</v>
      </c>
      <c r="AC17" s="45"/>
      <c r="AD17" s="45"/>
      <c r="AE17" s="45"/>
      <c r="AF17" s="195">
        <f t="shared" si="3"/>
        <v>3.3000000000000002E-2</v>
      </c>
      <c r="AG17" s="244"/>
      <c r="AH17" s="244"/>
      <c r="AI17" s="244"/>
      <c r="AJ17" s="184"/>
      <c r="AK17" s="184"/>
      <c r="AL17" s="184"/>
      <c r="AM17" s="184"/>
      <c r="AN17" s="184"/>
      <c r="AO17" s="184"/>
      <c r="AP17" s="184"/>
      <c r="AQ17" s="184"/>
      <c r="AR17" s="184"/>
      <c r="AS17" s="184"/>
      <c r="AT17" s="151"/>
    </row>
    <row r="18" spans="4:53" hidden="1" outlineLevel="1">
      <c r="E18" s="91"/>
      <c r="F18" s="45"/>
      <c r="G18" s="45"/>
      <c r="H18" s="45"/>
      <c r="I18" s="164"/>
      <c r="J18" s="174" t="str">
        <f t="shared" ref="J18:J24" si="5">J$9</f>
        <v>IS</v>
      </c>
      <c r="K18" s="173" t="str">
        <f>K$10</f>
        <v>Govt</v>
      </c>
      <c r="L18" s="200" t="s">
        <v>149</v>
      </c>
      <c r="M18" s="190">
        <v>3.3000000000000002E-2</v>
      </c>
      <c r="N18" s="189">
        <v>1.0890977106249997</v>
      </c>
      <c r="O18" s="197">
        <v>0.5</v>
      </c>
      <c r="P18" s="197">
        <v>0</v>
      </c>
      <c r="Q18" s="184">
        <v>0.31240000000000001</v>
      </c>
      <c r="R18" s="184">
        <v>2.23E-2</v>
      </c>
      <c r="S18" s="184"/>
      <c r="T18" s="184"/>
      <c r="U18" s="197">
        <v>0</v>
      </c>
      <c r="V18" s="197">
        <v>0</v>
      </c>
      <c r="W18" s="197">
        <v>0</v>
      </c>
      <c r="X18" s="197">
        <v>0</v>
      </c>
      <c r="Y18" s="197">
        <v>0</v>
      </c>
      <c r="Z18" s="184">
        <v>8.9499999999999996E-2</v>
      </c>
      <c r="AA18" s="196"/>
      <c r="AB18" s="186">
        <f t="shared" si="4"/>
        <v>0.08</v>
      </c>
      <c r="AC18" s="45"/>
      <c r="AD18" s="45"/>
      <c r="AE18" s="45"/>
      <c r="AF18" s="195">
        <f t="shared" si="3"/>
        <v>3.3000000000000002E-2</v>
      </c>
      <c r="AG18" s="244"/>
      <c r="AH18" s="244"/>
      <c r="AI18" s="244"/>
      <c r="AJ18" s="184"/>
      <c r="AK18" s="184"/>
      <c r="AL18" s="184"/>
      <c r="AM18" s="184"/>
      <c r="AN18" s="184"/>
      <c r="AO18" s="184"/>
      <c r="AP18" s="184"/>
      <c r="AQ18" s="184"/>
      <c r="AR18" s="184"/>
      <c r="AS18" s="184"/>
      <c r="AT18" s="151"/>
    </row>
    <row r="19" spans="4:53" hidden="1" outlineLevel="1">
      <c r="E19" s="91"/>
      <c r="F19" s="45"/>
      <c r="G19" s="45"/>
      <c r="H19" s="45"/>
      <c r="I19" s="164"/>
      <c r="J19" s="174" t="str">
        <f t="shared" si="5"/>
        <v>IS</v>
      </c>
      <c r="K19" s="173" t="str">
        <f>K$9</f>
        <v>Contr</v>
      </c>
      <c r="L19" s="200" t="s">
        <v>148</v>
      </c>
      <c r="M19" s="199">
        <v>0</v>
      </c>
      <c r="N19" s="198">
        <v>1</v>
      </c>
      <c r="O19" s="188">
        <v>0.5</v>
      </c>
      <c r="P19" s="188">
        <v>0</v>
      </c>
      <c r="Q19" s="184">
        <v>0.31240000000000001</v>
      </c>
      <c r="R19" s="184">
        <v>0.1988</v>
      </c>
      <c r="S19" s="184"/>
      <c r="T19" s="184"/>
      <c r="U19" s="188">
        <v>0</v>
      </c>
      <c r="V19" s="188">
        <v>0</v>
      </c>
      <c r="W19" s="188">
        <v>0</v>
      </c>
      <c r="X19" s="188">
        <v>0</v>
      </c>
      <c r="Y19" s="188">
        <v>0</v>
      </c>
      <c r="Z19" s="184">
        <v>8.9499999999999996E-2</v>
      </c>
      <c r="AA19" s="196"/>
      <c r="AB19" s="186">
        <f t="shared" si="4"/>
        <v>0.08</v>
      </c>
      <c r="AC19" s="45"/>
      <c r="AD19" s="45"/>
      <c r="AE19" s="45"/>
      <c r="AF19" s="195">
        <f t="shared" si="3"/>
        <v>0</v>
      </c>
      <c r="AG19" s="244"/>
      <c r="AH19" s="244"/>
      <c r="AI19" s="244"/>
      <c r="AJ19" s="184"/>
      <c r="AK19" s="184"/>
      <c r="AL19" s="184"/>
      <c r="AM19" s="184"/>
      <c r="AN19" s="184"/>
      <c r="AO19" s="184"/>
      <c r="AP19" s="184"/>
      <c r="AQ19" s="184"/>
      <c r="AR19" s="184"/>
      <c r="AS19" s="184"/>
      <c r="AT19" s="151"/>
    </row>
    <row r="20" spans="4:53" hidden="1" outlineLevel="1">
      <c r="E20" s="91"/>
      <c r="F20" s="45"/>
      <c r="G20" s="45"/>
      <c r="H20" s="45"/>
      <c r="I20" s="164"/>
      <c r="J20" s="174" t="str">
        <f t="shared" si="5"/>
        <v>IS</v>
      </c>
      <c r="K20" s="173" t="str">
        <f>K$10</f>
        <v>Govt</v>
      </c>
      <c r="L20" s="200" t="s">
        <v>147</v>
      </c>
      <c r="M20" s="199">
        <v>0</v>
      </c>
      <c r="N20" s="198">
        <v>1</v>
      </c>
      <c r="O20" s="197">
        <v>0.5</v>
      </c>
      <c r="P20" s="197">
        <v>0</v>
      </c>
      <c r="Q20" s="184">
        <v>0.31240000000000001</v>
      </c>
      <c r="R20" s="184">
        <v>2.23E-2</v>
      </c>
      <c r="S20" s="184"/>
      <c r="T20" s="184"/>
      <c r="U20" s="197">
        <v>0</v>
      </c>
      <c r="V20" s="197">
        <v>0</v>
      </c>
      <c r="W20" s="197">
        <v>0</v>
      </c>
      <c r="X20" s="197">
        <v>0</v>
      </c>
      <c r="Y20" s="197">
        <v>0</v>
      </c>
      <c r="Z20" s="184">
        <v>8.9499999999999996E-2</v>
      </c>
      <c r="AA20" s="196"/>
      <c r="AB20" s="186">
        <f t="shared" si="4"/>
        <v>0.08</v>
      </c>
      <c r="AC20" s="45"/>
      <c r="AD20" s="45"/>
      <c r="AE20" s="45"/>
      <c r="AF20" s="195">
        <f t="shared" si="3"/>
        <v>0</v>
      </c>
      <c r="AG20" s="244"/>
      <c r="AH20" s="244"/>
      <c r="AI20" s="244"/>
      <c r="AJ20" s="184"/>
      <c r="AK20" s="184"/>
      <c r="AL20" s="184"/>
      <c r="AM20" s="184"/>
      <c r="AN20" s="184"/>
      <c r="AO20" s="184"/>
      <c r="AP20" s="184"/>
      <c r="AQ20" s="184"/>
      <c r="AR20" s="184"/>
      <c r="AS20" s="184"/>
      <c r="AT20" s="151"/>
    </row>
    <row r="21" spans="4:53" collapsed="1">
      <c r="E21" s="91"/>
      <c r="F21" s="45"/>
      <c r="G21" s="45"/>
      <c r="H21" s="45"/>
      <c r="I21" s="164"/>
      <c r="J21" s="193" t="str">
        <f t="shared" si="5"/>
        <v>IS</v>
      </c>
      <c r="K21" s="192" t="s">
        <v>261</v>
      </c>
      <c r="L21" s="191" t="s">
        <v>119</v>
      </c>
      <c r="M21" s="190">
        <v>0</v>
      </c>
      <c r="N21" s="189">
        <v>1</v>
      </c>
      <c r="O21" s="188">
        <v>0</v>
      </c>
      <c r="P21" s="188">
        <v>0</v>
      </c>
      <c r="Q21" s="184"/>
      <c r="R21" s="184">
        <v>2.8799999999999999E-2</v>
      </c>
      <c r="S21" s="184"/>
      <c r="T21" s="184"/>
      <c r="U21" s="188">
        <v>0</v>
      </c>
      <c r="V21" s="188">
        <v>0</v>
      </c>
      <c r="W21" s="188">
        <v>0</v>
      </c>
      <c r="X21" s="188">
        <v>0</v>
      </c>
      <c r="Y21" s="188">
        <v>0</v>
      </c>
      <c r="Z21" s="184">
        <v>8.9499999999999996E-2</v>
      </c>
      <c r="AA21" s="187"/>
      <c r="AB21" s="186">
        <f>'Pricing Summary'!C53</f>
        <v>0.08</v>
      </c>
      <c r="AC21" s="45"/>
      <c r="AD21" s="45"/>
      <c r="AE21" s="45"/>
      <c r="AF21" s="155">
        <f t="shared" si="3"/>
        <v>0</v>
      </c>
      <c r="AG21" s="243"/>
      <c r="AH21" s="243"/>
      <c r="AI21" s="243"/>
      <c r="AJ21" s="184"/>
      <c r="AK21" s="184"/>
      <c r="AL21" s="184"/>
      <c r="AM21" s="184"/>
      <c r="AN21" s="184"/>
      <c r="AO21" s="184"/>
      <c r="AP21" s="184"/>
      <c r="AQ21" s="184"/>
      <c r="AR21" s="184"/>
      <c r="AS21" s="184"/>
      <c r="AT21" s="151"/>
    </row>
    <row r="22" spans="4:53" hidden="1">
      <c r="E22" s="91"/>
      <c r="F22" s="45"/>
      <c r="G22" s="45"/>
      <c r="H22" s="45"/>
      <c r="I22" s="164"/>
      <c r="J22" s="174" t="str">
        <f t="shared" si="5"/>
        <v>IS</v>
      </c>
      <c r="K22" s="173" t="str">
        <f>K21</f>
        <v>Contr/Govt</v>
      </c>
      <c r="L22" s="183" t="s">
        <v>146</v>
      </c>
      <c r="M22" s="182">
        <v>0</v>
      </c>
      <c r="N22" s="181">
        <f>N21</f>
        <v>1</v>
      </c>
      <c r="O22" s="180">
        <v>0</v>
      </c>
      <c r="P22" s="180">
        <v>0</v>
      </c>
      <c r="Q22" s="176"/>
      <c r="R22" s="175">
        <v>2.8799999999999999E-2</v>
      </c>
      <c r="S22" s="175"/>
      <c r="T22" s="175"/>
      <c r="U22" s="180">
        <v>0</v>
      </c>
      <c r="V22" s="180">
        <v>0</v>
      </c>
      <c r="W22" s="180">
        <v>0</v>
      </c>
      <c r="X22" s="180">
        <v>0</v>
      </c>
      <c r="Y22" s="180">
        <v>0</v>
      </c>
      <c r="Z22" s="175">
        <v>8.9499999999999996E-2</v>
      </c>
      <c r="AA22" s="179"/>
      <c r="AB22" s="178">
        <f>AB21</f>
        <v>0.08</v>
      </c>
      <c r="AC22" s="45"/>
      <c r="AD22" s="45"/>
      <c r="AE22" s="45"/>
      <c r="AF22" s="155">
        <f t="shared" si="3"/>
        <v>0</v>
      </c>
      <c r="AG22" s="242"/>
      <c r="AH22" s="242"/>
      <c r="AI22" s="242"/>
      <c r="AJ22" s="176"/>
      <c r="AK22" s="175"/>
      <c r="AL22" s="175"/>
      <c r="AM22" s="175"/>
      <c r="AN22" s="175"/>
      <c r="AO22" s="175"/>
      <c r="AP22" s="175"/>
      <c r="AQ22" s="175"/>
      <c r="AR22" s="175"/>
      <c r="AS22" s="175"/>
      <c r="AT22" s="151"/>
    </row>
    <row r="23" spans="4:53" hidden="1">
      <c r="E23" s="91"/>
      <c r="F23" s="45"/>
      <c r="G23" s="45"/>
      <c r="H23" s="45"/>
      <c r="I23" s="164"/>
      <c r="J23" s="174" t="str">
        <f t="shared" si="5"/>
        <v>IS</v>
      </c>
      <c r="K23" s="173" t="str">
        <f>K22</f>
        <v>Contr/Govt</v>
      </c>
      <c r="L23" s="172" t="s">
        <v>145</v>
      </c>
      <c r="M23" s="171">
        <v>0</v>
      </c>
      <c r="N23" s="170">
        <v>1</v>
      </c>
      <c r="O23" s="169">
        <v>0</v>
      </c>
      <c r="P23" s="169">
        <v>0</v>
      </c>
      <c r="Q23" s="165"/>
      <c r="R23" s="165">
        <v>2.8799999999999999E-2</v>
      </c>
      <c r="S23" s="165"/>
      <c r="T23" s="165"/>
      <c r="U23" s="169">
        <v>0</v>
      </c>
      <c r="V23" s="169">
        <v>0</v>
      </c>
      <c r="W23" s="169">
        <v>0</v>
      </c>
      <c r="X23" s="169">
        <v>0</v>
      </c>
      <c r="Y23" s="169">
        <v>0</v>
      </c>
      <c r="Z23" s="165">
        <v>8.9499999999999996E-2</v>
      </c>
      <c r="AA23" s="168"/>
      <c r="AB23" s="167">
        <v>0</v>
      </c>
      <c r="AC23" s="45"/>
      <c r="AD23" s="45"/>
      <c r="AE23" s="45"/>
      <c r="AF23" s="155">
        <f t="shared" si="3"/>
        <v>0</v>
      </c>
      <c r="AG23" s="241"/>
      <c r="AH23" s="241"/>
      <c r="AI23" s="241"/>
      <c r="AJ23" s="165"/>
      <c r="AK23" s="165"/>
      <c r="AL23" s="165"/>
      <c r="AM23" s="165"/>
      <c r="AN23" s="165"/>
      <c r="AO23" s="165"/>
      <c r="AP23" s="165"/>
      <c r="AQ23" s="165"/>
      <c r="AR23" s="165"/>
      <c r="AS23" s="165"/>
      <c r="AT23" s="151"/>
    </row>
    <row r="24" spans="4:53">
      <c r="E24" s="91"/>
      <c r="F24" s="45"/>
      <c r="G24" s="45"/>
      <c r="H24" s="45"/>
      <c r="I24" s="164"/>
      <c r="J24" s="163" t="str">
        <f t="shared" si="5"/>
        <v>IS</v>
      </c>
      <c r="K24" s="162" t="str">
        <f>K23</f>
        <v>Contr/Govt</v>
      </c>
      <c r="L24" s="161" t="s">
        <v>110</v>
      </c>
      <c r="M24" s="160">
        <v>0</v>
      </c>
      <c r="N24" s="159">
        <v>1</v>
      </c>
      <c r="O24" s="158">
        <v>0</v>
      </c>
      <c r="P24" s="158">
        <v>0</v>
      </c>
      <c r="Q24" s="153"/>
      <c r="R24" s="152">
        <f>IF(OR($J$24="MBI - FT",$J$24="MBI - PT"),R23,0)</f>
        <v>0</v>
      </c>
      <c r="S24" s="152"/>
      <c r="T24" s="152"/>
      <c r="U24" s="158">
        <v>0</v>
      </c>
      <c r="V24" s="158">
        <v>0</v>
      </c>
      <c r="W24" s="158">
        <v>0</v>
      </c>
      <c r="X24" s="158">
        <v>0</v>
      </c>
      <c r="Y24" s="158">
        <v>0</v>
      </c>
      <c r="Z24" s="152">
        <v>8.9499999999999996E-2</v>
      </c>
      <c r="AA24" s="157"/>
      <c r="AB24" s="156">
        <f>'Pricing Summary'!C54</f>
        <v>0.08</v>
      </c>
      <c r="AC24" s="45"/>
      <c r="AD24" s="45"/>
      <c r="AE24" s="45"/>
      <c r="AF24" s="155">
        <f t="shared" si="3"/>
        <v>0</v>
      </c>
      <c r="AG24" s="240"/>
      <c r="AH24" s="240"/>
      <c r="AI24" s="240"/>
      <c r="AJ24" s="153"/>
      <c r="AK24" s="152"/>
      <c r="AL24" s="152"/>
      <c r="AM24" s="152"/>
      <c r="AN24" s="152"/>
      <c r="AO24" s="152"/>
      <c r="AP24" s="152"/>
      <c r="AQ24" s="152"/>
      <c r="AR24" s="152"/>
      <c r="AS24" s="152"/>
      <c r="AT24" s="151"/>
    </row>
    <row r="25" spans="4:53">
      <c r="E25" s="91"/>
      <c r="F25" s="45"/>
      <c r="G25" s="45"/>
      <c r="H25" s="45"/>
      <c r="I25" s="45"/>
      <c r="J25" s="85"/>
      <c r="K25" s="85"/>
      <c r="L25" s="85"/>
      <c r="M25" s="85"/>
      <c r="N25" s="85"/>
      <c r="O25" s="85"/>
      <c r="P25" s="85"/>
      <c r="Q25" s="85"/>
      <c r="R25" s="85"/>
      <c r="S25" s="85"/>
      <c r="T25" s="85"/>
      <c r="U25" s="85"/>
      <c r="V25" s="85"/>
      <c r="W25" s="85"/>
      <c r="X25" s="85"/>
      <c r="Y25" s="85"/>
      <c r="Z25" s="85"/>
      <c r="AA25" s="85"/>
      <c r="AB25" s="85"/>
      <c r="AC25" s="45"/>
      <c r="AD25" s="45"/>
      <c r="AE25" s="45"/>
      <c r="AF25" s="90" t="s">
        <v>144</v>
      </c>
      <c r="AG25" s="45"/>
      <c r="AH25" s="45"/>
      <c r="AI25" s="45"/>
      <c r="AJ25" s="45"/>
      <c r="AK25" s="45"/>
      <c r="AL25" s="45"/>
      <c r="AM25" s="45"/>
      <c r="AN25" s="45"/>
      <c r="AO25" s="45"/>
      <c r="AP25" s="45"/>
      <c r="AQ25" s="45"/>
      <c r="AR25" s="45"/>
      <c r="AS25" s="45"/>
      <c r="AT25" s="45"/>
      <c r="AZ25" s="145"/>
      <c r="BA25" s="145"/>
    </row>
    <row r="26" spans="4:53" hidden="1" outlineLevel="1">
      <c r="E26" s="91"/>
      <c r="F26" s="45"/>
      <c r="G26" s="45"/>
      <c r="H26" s="45"/>
      <c r="I26" s="45"/>
      <c r="J26" s="45"/>
      <c r="K26" s="45"/>
      <c r="L26" s="45"/>
      <c r="M26" s="150"/>
      <c r="N26" s="149" t="str">
        <f>M$28&amp;"*"&amp;N$5</f>
        <v>A*B%</v>
      </c>
      <c r="O26" s="149"/>
      <c r="P26" s="149"/>
      <c r="Q26" s="149" t="str">
        <f>N$28&amp;"*"&amp;Q$5</f>
        <v>B*C%</v>
      </c>
      <c r="R26" s="149" t="str">
        <f>"("&amp;N28&amp;"+"&amp;Q$28&amp;")"&amp;"*"&amp;R$5</f>
        <v>(B+C)*D%</v>
      </c>
      <c r="S26" s="149"/>
      <c r="T26" s="149"/>
      <c r="U26" s="149"/>
      <c r="V26" s="149"/>
      <c r="W26" s="149"/>
      <c r="X26" s="149"/>
      <c r="Y26" s="149"/>
      <c r="Z26" s="149" t="str">
        <f>"("&amp;N28&amp;"+"&amp;Q28&amp;"+"&amp;R$28&amp;")"&amp;"*"&amp;Z$5</f>
        <v>(B+C+D)*E%</v>
      </c>
      <c r="AA26" s="149" t="s">
        <v>143</v>
      </c>
      <c r="AB26" s="149" t="str">
        <f>"("&amp;N28&amp;"+"&amp;Q28&amp;"+"&amp;R$28&amp;"+"&amp;Z$28&amp;")"&amp;"*"&amp;AB$5</f>
        <v>(B+C+D+E)*G%</v>
      </c>
      <c r="AC26" s="45"/>
      <c r="AD26" s="45"/>
      <c r="AE26" s="45"/>
      <c r="AF26" s="90"/>
    </row>
    <row r="27" spans="4:53" ht="8.25" hidden="1" customHeight="1" outlineLevel="1">
      <c r="E27" s="91"/>
      <c r="F27" s="45"/>
      <c r="G27" s="45"/>
      <c r="H27" s="45"/>
      <c r="I27" s="45"/>
      <c r="J27" s="45"/>
      <c r="K27" s="45"/>
      <c r="L27" s="45"/>
      <c r="M27" s="148"/>
      <c r="N27" s="147"/>
      <c r="O27" s="147"/>
      <c r="P27" s="147"/>
      <c r="Q27" s="147"/>
      <c r="R27" s="147"/>
      <c r="S27" s="147"/>
      <c r="T27" s="147"/>
      <c r="U27" s="147"/>
      <c r="V27" s="147"/>
      <c r="W27" s="147"/>
      <c r="X27" s="147"/>
      <c r="Y27" s="147"/>
      <c r="Z27" s="147"/>
      <c r="AA27" s="147"/>
      <c r="AB27" s="147"/>
      <c r="AC27" s="45"/>
      <c r="AD27" s="45"/>
      <c r="AE27" s="45"/>
      <c r="AF27" s="90"/>
    </row>
    <row r="28" spans="4:53" hidden="1" outlineLevel="1">
      <c r="E28" s="91"/>
      <c r="F28" s="45"/>
      <c r="G28" s="45"/>
      <c r="H28" s="45"/>
      <c r="I28" s="45"/>
      <c r="J28" s="45"/>
      <c r="K28" s="45"/>
      <c r="L28" s="45"/>
      <c r="M28" s="146" t="s">
        <v>142</v>
      </c>
      <c r="N28" s="146" t="s">
        <v>141</v>
      </c>
      <c r="O28" s="146"/>
      <c r="P28" s="146"/>
      <c r="Q28" s="146" t="s">
        <v>140</v>
      </c>
      <c r="R28" s="146" t="s">
        <v>139</v>
      </c>
      <c r="S28" s="146"/>
      <c r="T28" s="146"/>
      <c r="U28" s="146"/>
      <c r="V28" s="146"/>
      <c r="W28" s="146"/>
      <c r="X28" s="146"/>
      <c r="Y28" s="146"/>
      <c r="Z28" s="146" t="s">
        <v>138</v>
      </c>
      <c r="AA28" s="146" t="s">
        <v>137</v>
      </c>
      <c r="AB28" s="146" t="s">
        <v>136</v>
      </c>
      <c r="AC28" s="45"/>
      <c r="AD28" s="45"/>
      <c r="AE28" s="45"/>
      <c r="AF28" s="90"/>
    </row>
    <row r="29" spans="4:53" collapsed="1">
      <c r="E29" s="91"/>
      <c r="F29" s="45"/>
      <c r="G29" s="45"/>
      <c r="H29" s="45"/>
      <c r="I29" s="45"/>
      <c r="J29" s="45"/>
      <c r="K29" s="45"/>
      <c r="L29" s="45"/>
      <c r="M29" s="45"/>
      <c r="N29" s="45"/>
      <c r="O29" s="45"/>
      <c r="P29" s="45"/>
      <c r="Q29" s="45"/>
      <c r="R29" s="45"/>
      <c r="S29" s="45"/>
      <c r="T29" s="45"/>
      <c r="U29" s="45"/>
      <c r="V29" s="45"/>
      <c r="W29" s="45"/>
      <c r="X29" s="45"/>
      <c r="Y29" s="45"/>
      <c r="Z29" s="45"/>
      <c r="AA29" s="97"/>
      <c r="AB29" s="45"/>
      <c r="AC29" s="45"/>
      <c r="AD29" s="45"/>
      <c r="AE29" s="45"/>
      <c r="AF29" s="90">
        <v>12</v>
      </c>
      <c r="AT29" s="140"/>
      <c r="AU29" s="139"/>
      <c r="AV29" s="140"/>
      <c r="AW29" s="139"/>
      <c r="AZ29" s="145" t="s">
        <v>135</v>
      </c>
      <c r="BA29" s="145" t="s">
        <v>134</v>
      </c>
    </row>
    <row r="30" spans="4:53" ht="13.5" thickBot="1">
      <c r="E30" s="144" t="s">
        <v>133</v>
      </c>
      <c r="F30" s="142"/>
      <c r="G30" s="142" t="s">
        <v>106</v>
      </c>
      <c r="H30" s="45"/>
      <c r="I30" s="142" t="s">
        <v>132</v>
      </c>
      <c r="J30" s="143" t="s">
        <v>131</v>
      </c>
      <c r="K30" s="143" t="s">
        <v>131</v>
      </c>
      <c r="L30" s="142" t="str">
        <f>L8</f>
        <v>Burden Code</v>
      </c>
      <c r="M30" s="139" t="s">
        <v>130</v>
      </c>
      <c r="N30" s="139" t="s">
        <v>129</v>
      </c>
      <c r="O30" s="139" t="str">
        <f>O8</f>
        <v>Hazard</v>
      </c>
      <c r="P30" s="139" t="str">
        <f>P8</f>
        <v>Harship</v>
      </c>
      <c r="Q30" s="139" t="str">
        <f>Q8</f>
        <v>PRB</v>
      </c>
      <c r="R30" s="139" t="str">
        <f>R8</f>
        <v>Overhead</v>
      </c>
      <c r="S30" s="139"/>
      <c r="T30" s="139"/>
      <c r="U30" s="139" t="str">
        <f t="shared" ref="U30:AB30" si="6">U8</f>
        <v>Finders Fee</v>
      </c>
      <c r="V30" s="139" t="str">
        <f t="shared" si="6"/>
        <v>Comp. Bonus</v>
      </c>
      <c r="W30" s="139" t="str">
        <f t="shared" si="6"/>
        <v>War Risk Ins.</v>
      </c>
      <c r="X30" s="139" t="str">
        <f t="shared" si="6"/>
        <v>DBA Ins.</v>
      </c>
      <c r="Y30" s="139" t="str">
        <f t="shared" si="6"/>
        <v>Travel</v>
      </c>
      <c r="Z30" s="139" t="str">
        <f t="shared" si="6"/>
        <v>G&amp;A</v>
      </c>
      <c r="AA30" s="139" t="str">
        <f t="shared" si="6"/>
        <v>Cost</v>
      </c>
      <c r="AB30" s="139" t="str">
        <f t="shared" si="6"/>
        <v>Profit / Fee</v>
      </c>
      <c r="AC30" s="139" t="s">
        <v>128</v>
      </c>
      <c r="AD30" s="139" t="s">
        <v>127</v>
      </c>
      <c r="AE30" s="139" t="s">
        <v>100</v>
      </c>
      <c r="AF30" s="141" t="s">
        <v>126</v>
      </c>
      <c r="AG30" s="140"/>
      <c r="AH30" s="140"/>
      <c r="AI30" s="140"/>
      <c r="AJ30" s="140"/>
      <c r="AK30" s="140"/>
      <c r="AL30" s="140"/>
      <c r="AM30" s="140"/>
      <c r="AN30" s="140"/>
      <c r="AO30" s="140"/>
      <c r="AP30" s="140"/>
      <c r="AQ30" s="140"/>
      <c r="AR30" s="140"/>
      <c r="AS30" s="140"/>
      <c r="AT30" s="140"/>
      <c r="AU30" s="139"/>
      <c r="AV30" s="140"/>
      <c r="AW30" s="139"/>
      <c r="AZ30" s="46">
        <v>1</v>
      </c>
      <c r="BA30" s="46">
        <v>1</v>
      </c>
    </row>
    <row r="31" spans="4:53" s="114" customFormat="1" ht="16.5" thickBot="1">
      <c r="E31" s="122" t="s">
        <v>125</v>
      </c>
      <c r="F31" s="119"/>
      <c r="G31" s="119"/>
      <c r="H31" s="121"/>
      <c r="I31" s="119"/>
      <c r="J31" s="120"/>
      <c r="K31" s="120"/>
      <c r="L31" s="119"/>
      <c r="M31" s="118"/>
      <c r="N31" s="118"/>
      <c r="O31" s="118"/>
      <c r="P31" s="118"/>
      <c r="Q31" s="118"/>
      <c r="R31" s="118"/>
      <c r="S31" s="118"/>
      <c r="T31" s="118"/>
      <c r="U31" s="118"/>
      <c r="V31" s="118"/>
      <c r="W31" s="118"/>
      <c r="X31" s="118"/>
      <c r="Y31" s="118"/>
      <c r="Z31" s="118"/>
      <c r="AA31" s="118"/>
      <c r="AB31" s="118"/>
      <c r="AC31" s="118"/>
      <c r="AD31" s="118"/>
      <c r="AE31" s="118"/>
      <c r="AF31" s="138"/>
      <c r="AG31" s="116"/>
      <c r="AH31" s="116"/>
      <c r="AI31" s="116" t="s">
        <v>124</v>
      </c>
      <c r="AJ31" s="116" t="s">
        <v>123</v>
      </c>
      <c r="AK31" s="116" t="s">
        <v>122</v>
      </c>
      <c r="AL31" s="116"/>
      <c r="AM31" s="116"/>
      <c r="AN31" s="116"/>
      <c r="AO31" s="116"/>
      <c r="AP31" s="116" t="s">
        <v>121</v>
      </c>
      <c r="AQ31" s="116"/>
      <c r="AR31" s="116"/>
      <c r="AS31" s="116"/>
      <c r="AT31" s="116"/>
      <c r="AU31" s="116"/>
      <c r="AV31" s="116"/>
      <c r="AW31" s="115"/>
      <c r="AZ31" s="46">
        <v>1</v>
      </c>
      <c r="BA31" s="46">
        <v>1</v>
      </c>
    </row>
    <row r="32" spans="4:53">
      <c r="D32" s="45">
        <v>1</v>
      </c>
      <c r="E32" s="137" t="s">
        <v>230</v>
      </c>
      <c r="F32" s="45"/>
      <c r="G32" s="105" t="s">
        <v>99</v>
      </c>
      <c r="H32" s="45"/>
      <c r="I32" s="136">
        <v>0</v>
      </c>
      <c r="J32" s="135" t="str">
        <f t="shared" ref="J32:J46" si="7">G32&amp;D32&amp;I32&amp;L32</f>
        <v>ManTech10Govt</v>
      </c>
      <c r="K32" s="135"/>
      <c r="L32" s="105" t="s">
        <v>120</v>
      </c>
      <c r="M32" s="127">
        <v>29</v>
      </c>
      <c r="N32" s="127">
        <f t="shared" ref="N32:N46" ca="1" si="8">ROUND($M32*(VLOOKUP($L32,$L$9:$AB$24,N$6,FALSE)),2)</f>
        <v>31.58</v>
      </c>
      <c r="O32" s="127">
        <f t="shared" ref="O32:P46" ca="1" si="9">$N32*(VLOOKUP($L32,$L$9:$AB$24,O$6,FALSE))</f>
        <v>11.052999999999999</v>
      </c>
      <c r="P32" s="127">
        <f t="shared" ca="1" si="9"/>
        <v>11.052999999999999</v>
      </c>
      <c r="Q32" s="127">
        <f t="shared" ref="Q32:Q46" ca="1" si="10">($N32+O32+P32)*(VLOOKUP($L32,$L$9:$AB$24,Q$6,FALSE))</f>
        <v>16.7715064</v>
      </c>
      <c r="R32" s="127">
        <f t="shared" ref="R32:R46" ca="1" si="11">($N32+$Q32+O32+P32)*(VLOOKUP($L32,$L$9:$AB$24,R$6,FALSE))</f>
        <v>1.5712023927200001</v>
      </c>
      <c r="S32" s="127">
        <f t="shared" ref="S32:S37" ca="1" si="12">$S$10/SUM($AD$32:$AD$46)</f>
        <v>0.48771241830065359</v>
      </c>
      <c r="T32" s="127">
        <f t="shared" ref="T32:T37" ca="1" si="13">$T$10/SUM($AD$32:$AD$46)</f>
        <v>0.12941960784313725</v>
      </c>
      <c r="U32" s="127">
        <f t="shared" ref="U32:U37" si="14">(M32*AD32)*$U$10</f>
        <v>0</v>
      </c>
      <c r="V32" s="127">
        <f t="shared" ref="V32:V37" si="15">$V$10/AD32</f>
        <v>2.4509803921568629</v>
      </c>
      <c r="W32" s="127">
        <f t="shared" ref="W32:W37" si="16">$W$10/AD32</f>
        <v>0.29427450980392161</v>
      </c>
      <c r="X32" s="127">
        <f t="shared" ref="X32:X37" ca="1" si="17">N32*$X$10</f>
        <v>0.60002</v>
      </c>
      <c r="Y32" s="127">
        <f t="shared" ref="Y32:Y37" si="18">$Y$10/AD32</f>
        <v>1.1106862745098041</v>
      </c>
      <c r="Z32" s="127">
        <f ca="1">IF($G32="ManTech",(SUM($N32:$Y32)*(VLOOKUP($L32,$L$9:$AB$24,Z$6,FALSE))),(IF(R32=0,((SUM(N32,#REF!))*(VLOOKUP($L32,$L$9:$AB$24,Z$6,FALSE))),(SUM($R32:$R32)*(VLOOKUP($L32,$L$9:$AB$24,Z$6,FALSE))))))</f>
        <v>6.900611278582427</v>
      </c>
      <c r="AA32" s="127">
        <f t="shared" ref="AA32:AA46" ca="1" si="19">SUM(N32:Z32)</f>
        <v>84.002413273916815</v>
      </c>
      <c r="AB32" s="127">
        <f t="shared" ref="AB32:AB46" ca="1" si="20">(AA32*(VLOOKUP($L32,$L$9:$AB$24,AB$6,FALSE)))</f>
        <v>6.7201930619133456</v>
      </c>
      <c r="AC32" s="127">
        <f t="shared" ref="AC32:AC46" ca="1" si="21">ROUND(SUM(AA32:AB32),2)</f>
        <v>90.72</v>
      </c>
      <c r="AD32" s="104">
        <v>2040</v>
      </c>
      <c r="AE32" s="92">
        <f t="shared" ref="AE32:AE46" ca="1" si="22">$AC32*$AD32</f>
        <v>185068.79999999999</v>
      </c>
      <c r="AF32" s="134">
        <f t="shared" ref="AF32:AF46" ca="1" si="23">AC32*$AF$29</f>
        <v>1088.6399999999999</v>
      </c>
      <c r="AG32" s="78"/>
      <c r="AH32" s="78"/>
      <c r="AI32" s="78">
        <f t="shared" ref="AI32:AI46" ca="1" si="24">AA32*AD32</f>
        <v>171364.92307879031</v>
      </c>
      <c r="AJ32" s="78">
        <f t="shared" ref="AJ32:AJ46" ca="1" si="25">AC32*AD32</f>
        <v>185068.79999999999</v>
      </c>
      <c r="AK32" s="78">
        <f t="shared" ref="AK32:AK46" ca="1" si="26">AJ32-AI32</f>
        <v>13703.876921209681</v>
      </c>
      <c r="AL32" s="94">
        <f t="shared" ref="AL32:AL46" ca="1" si="27">IF(AK32=0,0,ROUND(AK32/AI32,2))</f>
        <v>0.08</v>
      </c>
      <c r="AM32" s="78"/>
      <c r="AN32" s="78"/>
      <c r="AO32" s="78"/>
      <c r="AP32" s="78">
        <f t="shared" ref="AP32:AP46" si="28">Y32*AD32</f>
        <v>2265.8000000000002</v>
      </c>
      <c r="AQ32" s="78"/>
      <c r="AR32" s="78"/>
      <c r="AS32" s="78"/>
      <c r="AT32" s="78"/>
      <c r="AU32" s="53"/>
      <c r="AV32" s="52"/>
      <c r="AW32" s="51"/>
      <c r="AZ32" s="46" t="str">
        <f t="shared" ref="AZ32:AZ46" ca="1" si="29">IF((OR((AC32=""),(AC32&gt;0))),"1","0")</f>
        <v>1</v>
      </c>
      <c r="BA32" s="46" t="str">
        <f t="shared" ref="BA32:BA46" ca="1" si="30">IF((OR((AE32=""),(AE32&gt;0))),"1","0")</f>
        <v>1</v>
      </c>
    </row>
    <row r="33" spans="4:53">
      <c r="D33" s="45">
        <f t="shared" ref="D33:D46" si="31">D32+1</f>
        <v>2</v>
      </c>
      <c r="E33" s="137" t="s">
        <v>63</v>
      </c>
      <c r="F33" s="45"/>
      <c r="G33" s="105" t="s">
        <v>99</v>
      </c>
      <c r="H33" s="45"/>
      <c r="I33" s="136">
        <v>0</v>
      </c>
      <c r="J33" s="135" t="str">
        <f t="shared" si="7"/>
        <v>ManTech20Govt</v>
      </c>
      <c r="K33" s="135"/>
      <c r="L33" s="105" t="s">
        <v>120</v>
      </c>
      <c r="M33" s="127">
        <v>33.81</v>
      </c>
      <c r="N33" s="127">
        <f t="shared" ca="1" si="8"/>
        <v>36.82</v>
      </c>
      <c r="O33" s="127">
        <f t="shared" ca="1" si="9"/>
        <v>12.886999999999999</v>
      </c>
      <c r="P33" s="127">
        <f t="shared" ca="1" si="9"/>
        <v>12.886999999999999</v>
      </c>
      <c r="Q33" s="127">
        <f t="shared" ca="1" si="10"/>
        <v>19.554365600000001</v>
      </c>
      <c r="R33" s="127">
        <f t="shared" ca="1" si="11"/>
        <v>1.8319085528800001</v>
      </c>
      <c r="S33" s="127">
        <f t="shared" ca="1" si="12"/>
        <v>0.48771241830065359</v>
      </c>
      <c r="T33" s="127">
        <f t="shared" ca="1" si="13"/>
        <v>0.12941960784313725</v>
      </c>
      <c r="U33" s="127">
        <f t="shared" si="14"/>
        <v>0</v>
      </c>
      <c r="V33" s="127">
        <f t="shared" si="15"/>
        <v>2.4509803921568629</v>
      </c>
      <c r="W33" s="127">
        <f t="shared" si="16"/>
        <v>0.29427450980392161</v>
      </c>
      <c r="X33" s="127">
        <f t="shared" ca="1" si="17"/>
        <v>0.69957999999999998</v>
      </c>
      <c r="Y33" s="127">
        <f t="shared" si="18"/>
        <v>1.1106862745098041</v>
      </c>
      <c r="Z33" s="127">
        <f ca="1">IF($G33="ManTech",(SUM($N33:$Y33)*(VLOOKUP($L33,$L$9:$AB$24,Z$6,FALSE))),(IF(R33=0,((SUM(N33,#REF!))*(VLOOKUP($L33,$L$9:$AB$24,Z$6,FALSE))),(SUM($R33:$R33)*(VLOOKUP($L33,$L$9:$AB$24,Z$6,FALSE))))))</f>
        <v>7.9791869983167469</v>
      </c>
      <c r="AA33" s="127">
        <f t="shared" ca="1" si="19"/>
        <v>97.132114353811133</v>
      </c>
      <c r="AB33" s="127">
        <f t="shared" ca="1" si="20"/>
        <v>7.7705691483048911</v>
      </c>
      <c r="AC33" s="127">
        <f t="shared" ca="1" si="21"/>
        <v>104.9</v>
      </c>
      <c r="AD33" s="104">
        <v>2040</v>
      </c>
      <c r="AE33" s="92">
        <f t="shared" ca="1" si="22"/>
        <v>213996</v>
      </c>
      <c r="AF33" s="134">
        <f t="shared" ca="1" si="23"/>
        <v>1258.8000000000002</v>
      </c>
      <c r="AG33" s="78"/>
      <c r="AH33" s="78"/>
      <c r="AI33" s="78">
        <f t="shared" ca="1" si="24"/>
        <v>198149.51328177471</v>
      </c>
      <c r="AJ33" s="78">
        <f t="shared" ca="1" si="25"/>
        <v>213996</v>
      </c>
      <c r="AK33" s="78">
        <f t="shared" ca="1" si="26"/>
        <v>15846.486718225293</v>
      </c>
      <c r="AL33" s="94">
        <f t="shared" ca="1" si="27"/>
        <v>0.08</v>
      </c>
      <c r="AM33" s="78"/>
      <c r="AN33" s="78"/>
      <c r="AO33" s="78"/>
      <c r="AP33" s="78">
        <f t="shared" si="28"/>
        <v>2265.8000000000002</v>
      </c>
      <c r="AQ33" s="78"/>
      <c r="AR33" s="78"/>
      <c r="AS33" s="78"/>
      <c r="AT33" s="78"/>
      <c r="AU33" s="53"/>
      <c r="AV33" s="52"/>
      <c r="AW33" s="51"/>
      <c r="AZ33" s="46" t="str">
        <f t="shared" ca="1" si="29"/>
        <v>1</v>
      </c>
      <c r="BA33" s="46" t="str">
        <f t="shared" ca="1" si="30"/>
        <v>1</v>
      </c>
    </row>
    <row r="34" spans="4:53">
      <c r="D34" s="45">
        <f t="shared" si="31"/>
        <v>3</v>
      </c>
      <c r="E34" s="137" t="s">
        <v>63</v>
      </c>
      <c r="F34" s="45"/>
      <c r="G34" s="105" t="s">
        <v>99</v>
      </c>
      <c r="H34" s="45"/>
      <c r="I34" s="136">
        <v>0</v>
      </c>
      <c r="J34" s="135" t="str">
        <f t="shared" si="7"/>
        <v>ManTech30Govt</v>
      </c>
      <c r="K34" s="135"/>
      <c r="L34" s="105" t="s">
        <v>120</v>
      </c>
      <c r="M34" s="127">
        <v>33.81</v>
      </c>
      <c r="N34" s="127">
        <f t="shared" ca="1" si="8"/>
        <v>36.82</v>
      </c>
      <c r="O34" s="127">
        <f t="shared" ca="1" si="9"/>
        <v>12.886999999999999</v>
      </c>
      <c r="P34" s="127">
        <f t="shared" ca="1" si="9"/>
        <v>12.886999999999999</v>
      </c>
      <c r="Q34" s="127">
        <f t="shared" ca="1" si="10"/>
        <v>19.554365600000001</v>
      </c>
      <c r="R34" s="127">
        <f t="shared" ca="1" si="11"/>
        <v>1.8319085528800001</v>
      </c>
      <c r="S34" s="127">
        <f t="shared" ca="1" si="12"/>
        <v>0.48771241830065359</v>
      </c>
      <c r="T34" s="127">
        <f t="shared" ca="1" si="13"/>
        <v>0.12941960784313725</v>
      </c>
      <c r="U34" s="127">
        <f t="shared" si="14"/>
        <v>0</v>
      </c>
      <c r="V34" s="127">
        <f t="shared" si="15"/>
        <v>2.4509803921568629</v>
      </c>
      <c r="W34" s="127">
        <f t="shared" si="16"/>
        <v>0.29427450980392161</v>
      </c>
      <c r="X34" s="127">
        <f t="shared" ca="1" si="17"/>
        <v>0.69957999999999998</v>
      </c>
      <c r="Y34" s="127">
        <f t="shared" si="18"/>
        <v>1.1106862745098041</v>
      </c>
      <c r="Z34" s="127">
        <f ca="1">IF($G34="ManTech",(SUM($N34:$Y34)*(VLOOKUP($L34,$L$9:$AB$24,Z$6,FALSE))),(IF(R34=0,((SUM(N34,#REF!))*(VLOOKUP($L34,$L$9:$AB$24,Z$6,FALSE))),(SUM($R34:$R34)*(VLOOKUP($L34,$L$9:$AB$24,Z$6,FALSE))))))</f>
        <v>7.9791869983167469</v>
      </c>
      <c r="AA34" s="127">
        <f t="shared" ca="1" si="19"/>
        <v>97.132114353811133</v>
      </c>
      <c r="AB34" s="127">
        <f t="shared" ca="1" si="20"/>
        <v>7.7705691483048911</v>
      </c>
      <c r="AC34" s="127">
        <f t="shared" ca="1" si="21"/>
        <v>104.9</v>
      </c>
      <c r="AD34" s="104">
        <v>2040</v>
      </c>
      <c r="AE34" s="92">
        <f t="shared" ca="1" si="22"/>
        <v>213996</v>
      </c>
      <c r="AF34" s="134">
        <f t="shared" ca="1" si="23"/>
        <v>1258.8000000000002</v>
      </c>
      <c r="AG34" s="78"/>
      <c r="AH34" s="78"/>
      <c r="AI34" s="78">
        <f t="shared" ca="1" si="24"/>
        <v>198149.51328177471</v>
      </c>
      <c r="AJ34" s="78">
        <f t="shared" ca="1" si="25"/>
        <v>213996</v>
      </c>
      <c r="AK34" s="78">
        <f t="shared" ca="1" si="26"/>
        <v>15846.486718225293</v>
      </c>
      <c r="AL34" s="94">
        <f t="shared" ca="1" si="27"/>
        <v>0.08</v>
      </c>
      <c r="AM34" s="78"/>
      <c r="AN34" s="78"/>
      <c r="AO34" s="78"/>
      <c r="AP34" s="78">
        <f t="shared" si="28"/>
        <v>2265.8000000000002</v>
      </c>
      <c r="AQ34" s="78"/>
      <c r="AR34" s="78"/>
      <c r="AS34" s="78"/>
      <c r="AT34" s="78"/>
      <c r="AU34" s="53"/>
      <c r="AV34" s="52"/>
      <c r="AW34" s="51"/>
      <c r="AZ34" s="46" t="str">
        <f t="shared" ca="1" si="29"/>
        <v>1</v>
      </c>
      <c r="BA34" s="46" t="str">
        <f t="shared" ca="1" si="30"/>
        <v>1</v>
      </c>
    </row>
    <row r="35" spans="4:53">
      <c r="D35" s="45">
        <f t="shared" si="31"/>
        <v>4</v>
      </c>
      <c r="E35" s="137" t="s">
        <v>63</v>
      </c>
      <c r="F35" s="45"/>
      <c r="G35" s="105" t="s">
        <v>99</v>
      </c>
      <c r="H35" s="45"/>
      <c r="I35" s="136">
        <v>0</v>
      </c>
      <c r="J35" s="135" t="str">
        <f t="shared" si="7"/>
        <v>ManTech40Govt</v>
      </c>
      <c r="K35" s="135"/>
      <c r="L35" s="105" t="s">
        <v>120</v>
      </c>
      <c r="M35" s="127">
        <v>33.81</v>
      </c>
      <c r="N35" s="127">
        <f t="shared" ca="1" si="8"/>
        <v>36.82</v>
      </c>
      <c r="O35" s="127">
        <f t="shared" ca="1" si="9"/>
        <v>12.886999999999999</v>
      </c>
      <c r="P35" s="127">
        <f t="shared" ca="1" si="9"/>
        <v>12.886999999999999</v>
      </c>
      <c r="Q35" s="127">
        <f t="shared" ca="1" si="10"/>
        <v>19.554365600000001</v>
      </c>
      <c r="R35" s="127">
        <f t="shared" ca="1" si="11"/>
        <v>1.8319085528800001</v>
      </c>
      <c r="S35" s="127">
        <f t="shared" ca="1" si="12"/>
        <v>0.48771241830065359</v>
      </c>
      <c r="T35" s="127">
        <f t="shared" ca="1" si="13"/>
        <v>0.12941960784313725</v>
      </c>
      <c r="U35" s="127">
        <f t="shared" si="14"/>
        <v>0</v>
      </c>
      <c r="V35" s="127">
        <f t="shared" si="15"/>
        <v>2.4509803921568629</v>
      </c>
      <c r="W35" s="127">
        <f t="shared" si="16"/>
        <v>0.29427450980392161</v>
      </c>
      <c r="X35" s="127">
        <f t="shared" ca="1" si="17"/>
        <v>0.69957999999999998</v>
      </c>
      <c r="Y35" s="127">
        <f t="shared" si="18"/>
        <v>1.1106862745098041</v>
      </c>
      <c r="Z35" s="127">
        <f ca="1">IF($G35="ManTech",(SUM($N35:$Y35)*(VLOOKUP($L35,$L$9:$AB$24,Z$6,FALSE))),(IF(R35=0,((SUM(N35,#REF!))*(VLOOKUP($L35,$L$9:$AB$24,Z$6,FALSE))),(SUM($R35:$R35)*(VLOOKUP($L35,$L$9:$AB$24,Z$6,FALSE))))))</f>
        <v>7.9791869983167469</v>
      </c>
      <c r="AA35" s="127">
        <f t="shared" ca="1" si="19"/>
        <v>97.132114353811133</v>
      </c>
      <c r="AB35" s="127">
        <f t="shared" ca="1" si="20"/>
        <v>7.7705691483048911</v>
      </c>
      <c r="AC35" s="127">
        <f t="shared" ca="1" si="21"/>
        <v>104.9</v>
      </c>
      <c r="AD35" s="104">
        <v>2040</v>
      </c>
      <c r="AE35" s="92">
        <f t="shared" ca="1" si="22"/>
        <v>213996</v>
      </c>
      <c r="AF35" s="134">
        <f t="shared" ca="1" si="23"/>
        <v>1258.8000000000002</v>
      </c>
      <c r="AG35" s="78"/>
      <c r="AH35" s="78"/>
      <c r="AI35" s="78">
        <f t="shared" ca="1" si="24"/>
        <v>198149.51328177471</v>
      </c>
      <c r="AJ35" s="78">
        <f t="shared" ca="1" si="25"/>
        <v>213996</v>
      </c>
      <c r="AK35" s="78">
        <f t="shared" ca="1" si="26"/>
        <v>15846.486718225293</v>
      </c>
      <c r="AL35" s="94">
        <f t="shared" ca="1" si="27"/>
        <v>0.08</v>
      </c>
      <c r="AM35" s="78"/>
      <c r="AN35" s="78"/>
      <c r="AO35" s="78"/>
      <c r="AP35" s="78">
        <f t="shared" si="28"/>
        <v>2265.8000000000002</v>
      </c>
      <c r="AQ35" s="78"/>
      <c r="AR35" s="78"/>
      <c r="AS35" s="78"/>
      <c r="AT35" s="78"/>
      <c r="AU35" s="53"/>
      <c r="AV35" s="52"/>
      <c r="AW35" s="51"/>
      <c r="AZ35" s="46" t="str">
        <f t="shared" ca="1" si="29"/>
        <v>1</v>
      </c>
      <c r="BA35" s="46" t="str">
        <f t="shared" ca="1" si="30"/>
        <v>1</v>
      </c>
    </row>
    <row r="36" spans="4:53">
      <c r="D36" s="45">
        <f t="shared" si="31"/>
        <v>5</v>
      </c>
      <c r="E36" s="137" t="s">
        <v>65</v>
      </c>
      <c r="F36" s="45"/>
      <c r="G36" s="105" t="s">
        <v>99</v>
      </c>
      <c r="H36" s="45"/>
      <c r="I36" s="136">
        <v>0</v>
      </c>
      <c r="J36" s="135" t="str">
        <f t="shared" si="7"/>
        <v>ManTech50Govt</v>
      </c>
      <c r="K36" s="135"/>
      <c r="L36" s="105" t="s">
        <v>120</v>
      </c>
      <c r="M36" s="127">
        <v>26</v>
      </c>
      <c r="N36" s="127">
        <f t="shared" ca="1" si="8"/>
        <v>28.32</v>
      </c>
      <c r="O36" s="127">
        <f t="shared" ca="1" si="9"/>
        <v>9.911999999999999</v>
      </c>
      <c r="P36" s="127">
        <f t="shared" ca="1" si="9"/>
        <v>9.911999999999999</v>
      </c>
      <c r="Q36" s="127">
        <f t="shared" ca="1" si="10"/>
        <v>15.040185599999999</v>
      </c>
      <c r="R36" s="127">
        <f t="shared" ca="1" si="11"/>
        <v>1.40900733888</v>
      </c>
      <c r="S36" s="127">
        <f t="shared" ca="1" si="12"/>
        <v>0.48771241830065359</v>
      </c>
      <c r="T36" s="127">
        <f t="shared" ca="1" si="13"/>
        <v>0.12941960784313725</v>
      </c>
      <c r="U36" s="127">
        <f t="shared" si="14"/>
        <v>0</v>
      </c>
      <c r="V36" s="127">
        <f t="shared" si="15"/>
        <v>2.4509803921568629</v>
      </c>
      <c r="W36" s="127">
        <f t="shared" si="16"/>
        <v>0.29427450980392161</v>
      </c>
      <c r="X36" s="127">
        <f t="shared" ca="1" si="17"/>
        <v>0.53808</v>
      </c>
      <c r="Y36" s="127">
        <f t="shared" si="18"/>
        <v>1.1106862745098041</v>
      </c>
      <c r="Z36" s="127">
        <f ca="1">IF($G36="ManTech",(SUM($N36:$Y36)*(VLOOKUP($L36,$L$9:$AB$24,Z$6,FALSE))),(IF(R36=0,((SUM(N36,#REF!))*(VLOOKUP($L36,$L$9:$AB$24,Z$6,FALSE))),(SUM($R36:$R36)*(VLOOKUP($L36,$L$9:$AB$24,Z$6,FALSE))))))</f>
        <v>6.2295889796637463</v>
      </c>
      <c r="AA36" s="127">
        <f t="shared" ca="1" si="19"/>
        <v>75.83393512115812</v>
      </c>
      <c r="AB36" s="127">
        <f t="shared" ca="1" si="20"/>
        <v>6.06671480969265</v>
      </c>
      <c r="AC36" s="127">
        <f t="shared" ca="1" si="21"/>
        <v>81.900000000000006</v>
      </c>
      <c r="AD36" s="104">
        <v>2040</v>
      </c>
      <c r="AE36" s="92">
        <f t="shared" ca="1" si="22"/>
        <v>167076</v>
      </c>
      <c r="AF36" s="134">
        <f t="shared" ca="1" si="23"/>
        <v>982.80000000000007</v>
      </c>
      <c r="AG36" s="78"/>
      <c r="AH36" s="78"/>
      <c r="AI36" s="78">
        <f t="shared" ca="1" si="24"/>
        <v>154701.22764716257</v>
      </c>
      <c r="AJ36" s="78">
        <f t="shared" ca="1" si="25"/>
        <v>167076</v>
      </c>
      <c r="AK36" s="78">
        <f t="shared" ca="1" si="26"/>
        <v>12374.772352837434</v>
      </c>
      <c r="AL36" s="94">
        <f t="shared" ca="1" si="27"/>
        <v>0.08</v>
      </c>
      <c r="AM36" s="78"/>
      <c r="AN36" s="78"/>
      <c r="AO36" s="78"/>
      <c r="AP36" s="78">
        <f t="shared" si="28"/>
        <v>2265.8000000000002</v>
      </c>
      <c r="AQ36" s="78"/>
      <c r="AR36" s="78"/>
      <c r="AS36" s="78"/>
      <c r="AT36" s="78"/>
      <c r="AU36" s="53"/>
      <c r="AV36" s="52"/>
      <c r="AW36" s="51"/>
      <c r="AZ36" s="46" t="str">
        <f t="shared" ca="1" si="29"/>
        <v>1</v>
      </c>
      <c r="BA36" s="46" t="str">
        <f t="shared" ca="1" si="30"/>
        <v>1</v>
      </c>
    </row>
    <row r="37" spans="4:53">
      <c r="D37" s="45">
        <f t="shared" si="31"/>
        <v>6</v>
      </c>
      <c r="E37" s="137" t="s">
        <v>65</v>
      </c>
      <c r="F37" s="45"/>
      <c r="G37" s="105" t="s">
        <v>99</v>
      </c>
      <c r="H37" s="45"/>
      <c r="I37" s="136">
        <v>0</v>
      </c>
      <c r="J37" s="135" t="str">
        <f t="shared" si="7"/>
        <v>ManTech60Govt</v>
      </c>
      <c r="K37" s="135"/>
      <c r="L37" s="105" t="s">
        <v>120</v>
      </c>
      <c r="M37" s="127">
        <v>26</v>
      </c>
      <c r="N37" s="127">
        <f t="shared" ca="1" si="8"/>
        <v>28.32</v>
      </c>
      <c r="O37" s="127">
        <f t="shared" ca="1" si="9"/>
        <v>9.911999999999999</v>
      </c>
      <c r="P37" s="127">
        <f t="shared" ca="1" si="9"/>
        <v>9.911999999999999</v>
      </c>
      <c r="Q37" s="127">
        <f t="shared" ca="1" si="10"/>
        <v>15.040185599999999</v>
      </c>
      <c r="R37" s="127">
        <f t="shared" ca="1" si="11"/>
        <v>1.40900733888</v>
      </c>
      <c r="S37" s="127">
        <f t="shared" ca="1" si="12"/>
        <v>0.48771241830065359</v>
      </c>
      <c r="T37" s="127">
        <f t="shared" ca="1" si="13"/>
        <v>0.12941960784313725</v>
      </c>
      <c r="U37" s="127">
        <f t="shared" si="14"/>
        <v>0</v>
      </c>
      <c r="V37" s="127">
        <f t="shared" si="15"/>
        <v>2.4509803921568629</v>
      </c>
      <c r="W37" s="127">
        <f t="shared" si="16"/>
        <v>0.29427450980392161</v>
      </c>
      <c r="X37" s="127">
        <f t="shared" ca="1" si="17"/>
        <v>0.53808</v>
      </c>
      <c r="Y37" s="127">
        <f t="shared" si="18"/>
        <v>1.1106862745098041</v>
      </c>
      <c r="Z37" s="127">
        <f ca="1">IF($G37="ManTech",(SUM($N37:$Y37)*(VLOOKUP($L37,$L$9:$AB$24,Z$6,FALSE))),(IF(R37=0,((SUM(N37,#REF!))*(VLOOKUP($L37,$L$9:$AB$24,Z$6,FALSE))),(SUM($R37:$R37)*(VLOOKUP($L37,$L$9:$AB$24,Z$6,FALSE))))))</f>
        <v>6.2295889796637463</v>
      </c>
      <c r="AA37" s="127">
        <f t="shared" ca="1" si="19"/>
        <v>75.83393512115812</v>
      </c>
      <c r="AB37" s="127">
        <f t="shared" ca="1" si="20"/>
        <v>6.06671480969265</v>
      </c>
      <c r="AC37" s="127">
        <f t="shared" ca="1" si="21"/>
        <v>81.900000000000006</v>
      </c>
      <c r="AD37" s="104">
        <v>2040</v>
      </c>
      <c r="AE37" s="92">
        <f t="shared" ca="1" si="22"/>
        <v>167076</v>
      </c>
      <c r="AF37" s="134">
        <f t="shared" ca="1" si="23"/>
        <v>982.80000000000007</v>
      </c>
      <c r="AG37" s="78"/>
      <c r="AH37" s="78"/>
      <c r="AI37" s="78">
        <f t="shared" ca="1" si="24"/>
        <v>154701.22764716257</v>
      </c>
      <c r="AJ37" s="78">
        <f t="shared" ca="1" si="25"/>
        <v>167076</v>
      </c>
      <c r="AK37" s="78">
        <f t="shared" ca="1" si="26"/>
        <v>12374.772352837434</v>
      </c>
      <c r="AL37" s="94">
        <f t="shared" ca="1" si="27"/>
        <v>0.08</v>
      </c>
      <c r="AM37" s="78"/>
      <c r="AN37" s="78"/>
      <c r="AO37" s="78"/>
      <c r="AP37" s="78">
        <f t="shared" si="28"/>
        <v>2265.8000000000002</v>
      </c>
      <c r="AQ37" s="78"/>
      <c r="AR37" s="78"/>
      <c r="AS37" s="78"/>
      <c r="AT37" s="78"/>
      <c r="AU37" s="53"/>
      <c r="AV37" s="52"/>
      <c r="AW37" s="51"/>
      <c r="AZ37" s="46" t="str">
        <f t="shared" ca="1" si="29"/>
        <v>1</v>
      </c>
      <c r="BA37" s="46" t="str">
        <f t="shared" ca="1" si="30"/>
        <v>1</v>
      </c>
    </row>
    <row r="38" spans="4:53">
      <c r="D38" s="45">
        <f t="shared" si="31"/>
        <v>7</v>
      </c>
      <c r="E38" s="137" t="s">
        <v>66</v>
      </c>
      <c r="F38" s="45"/>
      <c r="G38" s="105" t="s">
        <v>241</v>
      </c>
      <c r="H38" s="45"/>
      <c r="I38" s="136">
        <v>0</v>
      </c>
      <c r="J38" s="135" t="str">
        <f t="shared" si="7"/>
        <v>Segovia, Inc.70Govt_Sub</v>
      </c>
      <c r="K38" s="135"/>
      <c r="L38" s="105" t="s">
        <v>119</v>
      </c>
      <c r="M38" s="127">
        <v>81</v>
      </c>
      <c r="N38" s="127">
        <f t="shared" ca="1" si="8"/>
        <v>81</v>
      </c>
      <c r="O38" s="127">
        <f t="shared" ca="1" si="9"/>
        <v>0</v>
      </c>
      <c r="P38" s="127">
        <f t="shared" ca="1" si="9"/>
        <v>0</v>
      </c>
      <c r="Q38" s="127">
        <f t="shared" ca="1" si="10"/>
        <v>0</v>
      </c>
      <c r="R38" s="127">
        <f t="shared" ca="1" si="11"/>
        <v>2.3327999999999998</v>
      </c>
      <c r="S38" s="127"/>
      <c r="T38" s="127"/>
      <c r="U38" s="127">
        <v>0</v>
      </c>
      <c r="V38" s="127">
        <v>0</v>
      </c>
      <c r="W38" s="127">
        <v>0</v>
      </c>
      <c r="X38" s="127">
        <v>0</v>
      </c>
      <c r="Y38" s="127">
        <v>0</v>
      </c>
      <c r="Z38" s="127">
        <f ca="1">IF($G38="ManTech",(SUM($N38:$Y38)*(VLOOKUP($L38,$L$9:$AB$24,Z$6,FALSE))),(IF(R38=0,((SUM(N38,#REF!))*(VLOOKUP($L38,$L$9:$AB$24,Z$6,FALSE))),(SUM($R38:$R38)*(VLOOKUP($L38,$L$9:$AB$24,Z$6,FALSE))))))</f>
        <v>0.20878559999999996</v>
      </c>
      <c r="AA38" s="127">
        <f t="shared" ca="1" si="19"/>
        <v>83.541585600000005</v>
      </c>
      <c r="AB38" s="127">
        <f t="shared" ca="1" si="20"/>
        <v>6.6833268480000001</v>
      </c>
      <c r="AC38" s="127">
        <f t="shared" ca="1" si="21"/>
        <v>90.22</v>
      </c>
      <c r="AD38" s="104">
        <v>2040</v>
      </c>
      <c r="AE38" s="92">
        <f t="shared" ca="1" si="22"/>
        <v>184048.8</v>
      </c>
      <c r="AF38" s="134">
        <f t="shared" ca="1" si="23"/>
        <v>1082.6399999999999</v>
      </c>
      <c r="AG38" s="78"/>
      <c r="AH38" s="78"/>
      <c r="AI38" s="78">
        <f t="shared" ca="1" si="24"/>
        <v>170424.83462400001</v>
      </c>
      <c r="AJ38" s="78">
        <f t="shared" ca="1" si="25"/>
        <v>184048.8</v>
      </c>
      <c r="AK38" s="78">
        <f t="shared" ca="1" si="26"/>
        <v>13623.965375999978</v>
      </c>
      <c r="AL38" s="94">
        <f t="shared" ca="1" si="27"/>
        <v>0.08</v>
      </c>
      <c r="AM38" s="78"/>
      <c r="AN38" s="78"/>
      <c r="AO38" s="78"/>
      <c r="AP38" s="78">
        <f t="shared" si="28"/>
        <v>0</v>
      </c>
      <c r="AQ38" s="78"/>
      <c r="AR38" s="78"/>
      <c r="AS38" s="78"/>
      <c r="AT38" s="78"/>
      <c r="AU38" s="53"/>
      <c r="AV38" s="52"/>
      <c r="AW38" s="51"/>
      <c r="AZ38" s="46" t="str">
        <f t="shared" ca="1" si="29"/>
        <v>1</v>
      </c>
      <c r="BA38" s="46" t="str">
        <f t="shared" ca="1" si="30"/>
        <v>1</v>
      </c>
    </row>
    <row r="39" spans="4:53">
      <c r="D39" s="45">
        <f t="shared" si="31"/>
        <v>8</v>
      </c>
      <c r="E39" s="137" t="s">
        <v>266</v>
      </c>
      <c r="F39" s="45"/>
      <c r="G39" s="105" t="s">
        <v>241</v>
      </c>
      <c r="H39" s="45"/>
      <c r="I39" s="136">
        <v>0</v>
      </c>
      <c r="J39" s="135" t="str">
        <f t="shared" si="7"/>
        <v>Segovia, Inc.80Govt_Sub</v>
      </c>
      <c r="K39" s="135"/>
      <c r="L39" s="105" t="s">
        <v>119</v>
      </c>
      <c r="M39" s="127">
        <v>69.083333333333329</v>
      </c>
      <c r="N39" s="127">
        <f t="shared" ca="1" si="8"/>
        <v>69.08</v>
      </c>
      <c r="O39" s="127">
        <f t="shared" ca="1" si="9"/>
        <v>0</v>
      </c>
      <c r="P39" s="127">
        <f t="shared" ca="1" si="9"/>
        <v>0</v>
      </c>
      <c r="Q39" s="127">
        <f t="shared" ca="1" si="10"/>
        <v>0</v>
      </c>
      <c r="R39" s="127">
        <f t="shared" ca="1" si="11"/>
        <v>1.9895039999999999</v>
      </c>
      <c r="S39" s="127"/>
      <c r="T39" s="127"/>
      <c r="U39" s="127">
        <v>0</v>
      </c>
      <c r="V39" s="127">
        <v>0</v>
      </c>
      <c r="W39" s="127">
        <v>0</v>
      </c>
      <c r="X39" s="127">
        <v>0</v>
      </c>
      <c r="Y39" s="127">
        <v>0</v>
      </c>
      <c r="Z39" s="127">
        <f ca="1">IF($G39="ManTech",(SUM($N39:$Y39)*(VLOOKUP($L39,$L$9:$AB$24,Z$6,FALSE))),(IF(R39=0,((SUM(N39,#REF!))*(VLOOKUP($L39,$L$9:$AB$24,Z$6,FALSE))),(SUM($R39:$R39)*(VLOOKUP($L39,$L$9:$AB$24,Z$6,FALSE))))))</f>
        <v>0.17806060799999998</v>
      </c>
      <c r="AA39" s="127">
        <f t="shared" ca="1" si="19"/>
        <v>71.24756460799999</v>
      </c>
      <c r="AB39" s="127">
        <f t="shared" ca="1" si="20"/>
        <v>5.6998051686399993</v>
      </c>
      <c r="AC39" s="127">
        <f t="shared" ca="1" si="21"/>
        <v>76.95</v>
      </c>
      <c r="AD39" s="104">
        <v>2040</v>
      </c>
      <c r="AE39" s="92">
        <f t="shared" ca="1" si="22"/>
        <v>156978</v>
      </c>
      <c r="AF39" s="134">
        <f t="shared" ca="1" si="23"/>
        <v>923.40000000000009</v>
      </c>
      <c r="AG39" s="78"/>
      <c r="AH39" s="78"/>
      <c r="AI39" s="78">
        <f t="shared" ca="1" si="24"/>
        <v>145345.03180031999</v>
      </c>
      <c r="AJ39" s="78">
        <f t="shared" ca="1" si="25"/>
        <v>156978</v>
      </c>
      <c r="AK39" s="78">
        <f t="shared" ca="1" si="26"/>
        <v>11632.968199680006</v>
      </c>
      <c r="AL39" s="94">
        <f t="shared" ca="1" si="27"/>
        <v>0.08</v>
      </c>
      <c r="AM39" s="78"/>
      <c r="AN39" s="78"/>
      <c r="AO39" s="78"/>
      <c r="AP39" s="78">
        <f t="shared" si="28"/>
        <v>0</v>
      </c>
      <c r="AQ39" s="78"/>
      <c r="AR39" s="78"/>
      <c r="AS39" s="78"/>
      <c r="AT39" s="78"/>
      <c r="AU39" s="53"/>
      <c r="AV39" s="52"/>
      <c r="AW39" s="51"/>
      <c r="AZ39" s="46" t="str">
        <f t="shared" ca="1" si="29"/>
        <v>1</v>
      </c>
      <c r="BA39" s="46" t="str">
        <f t="shared" ca="1" si="30"/>
        <v>1</v>
      </c>
    </row>
    <row r="40" spans="4:53">
      <c r="D40" s="45">
        <f t="shared" si="31"/>
        <v>9</v>
      </c>
      <c r="E40" s="137" t="s">
        <v>74</v>
      </c>
      <c r="F40" s="45"/>
      <c r="G40" s="105" t="s">
        <v>241</v>
      </c>
      <c r="H40" s="45"/>
      <c r="I40" s="136">
        <v>0</v>
      </c>
      <c r="J40" s="135" t="str">
        <f t="shared" si="7"/>
        <v>Segovia, Inc.90Govt_Sub</v>
      </c>
      <c r="K40" s="135"/>
      <c r="L40" s="105" t="s">
        <v>119</v>
      </c>
      <c r="M40" s="127">
        <v>60.583333333333336</v>
      </c>
      <c r="N40" s="127">
        <f t="shared" ca="1" si="8"/>
        <v>60.58</v>
      </c>
      <c r="O40" s="127">
        <f t="shared" ca="1" si="9"/>
        <v>0</v>
      </c>
      <c r="P40" s="127">
        <f t="shared" ca="1" si="9"/>
        <v>0</v>
      </c>
      <c r="Q40" s="127">
        <f t="shared" ca="1" si="10"/>
        <v>0</v>
      </c>
      <c r="R40" s="127">
        <f t="shared" ca="1" si="11"/>
        <v>1.7447039999999998</v>
      </c>
      <c r="S40" s="127"/>
      <c r="T40" s="127"/>
      <c r="U40" s="127">
        <v>0</v>
      </c>
      <c r="V40" s="127">
        <v>0</v>
      </c>
      <c r="W40" s="127">
        <v>0</v>
      </c>
      <c r="X40" s="127">
        <v>0</v>
      </c>
      <c r="Y40" s="127">
        <v>0</v>
      </c>
      <c r="Z40" s="127">
        <f ca="1">IF($G40="ManTech",(SUM($N40:$Y40)*(VLOOKUP($L40,$L$9:$AB$24,Z$6,FALSE))),(IF(R40=0,((SUM(N40,#REF!))*(VLOOKUP($L40,$L$9:$AB$24,Z$6,FALSE))),(SUM($R40:$R40)*(VLOOKUP($L40,$L$9:$AB$24,Z$6,FALSE))))))</f>
        <v>0.15615100799999998</v>
      </c>
      <c r="AA40" s="127">
        <f t="shared" ca="1" si="19"/>
        <v>62.480855007999999</v>
      </c>
      <c r="AB40" s="127">
        <f t="shared" ca="1" si="20"/>
        <v>4.9984684006400002</v>
      </c>
      <c r="AC40" s="127">
        <f t="shared" ca="1" si="21"/>
        <v>67.48</v>
      </c>
      <c r="AD40" s="104">
        <v>2040</v>
      </c>
      <c r="AE40" s="92">
        <f t="shared" ca="1" si="22"/>
        <v>137659.20000000001</v>
      </c>
      <c r="AF40" s="134">
        <f t="shared" ca="1" si="23"/>
        <v>809.76</v>
      </c>
      <c r="AG40" s="78"/>
      <c r="AH40" s="78"/>
      <c r="AI40" s="78">
        <f t="shared" ca="1" si="24"/>
        <v>127460.94421632</v>
      </c>
      <c r="AJ40" s="78">
        <f t="shared" ca="1" si="25"/>
        <v>137659.20000000001</v>
      </c>
      <c r="AK40" s="78">
        <f t="shared" ca="1" si="26"/>
        <v>10198.255783680012</v>
      </c>
      <c r="AL40" s="94">
        <f t="shared" ca="1" si="27"/>
        <v>0.08</v>
      </c>
      <c r="AM40" s="78"/>
      <c r="AN40" s="78"/>
      <c r="AO40" s="78"/>
      <c r="AP40" s="78">
        <f t="shared" si="28"/>
        <v>0</v>
      </c>
      <c r="AQ40" s="78"/>
      <c r="AR40" s="78"/>
      <c r="AS40" s="78"/>
      <c r="AT40" s="78"/>
      <c r="AU40" s="53"/>
      <c r="AV40" s="52"/>
      <c r="AW40" s="51"/>
      <c r="AZ40" s="46" t="str">
        <f t="shared" ca="1" si="29"/>
        <v>1</v>
      </c>
      <c r="BA40" s="46" t="str">
        <f t="shared" ca="1" si="30"/>
        <v>1</v>
      </c>
    </row>
    <row r="41" spans="4:53">
      <c r="D41" s="45">
        <f t="shared" si="31"/>
        <v>10</v>
      </c>
      <c r="E41" s="137" t="s">
        <v>74</v>
      </c>
      <c r="F41" s="45"/>
      <c r="G41" s="105" t="s">
        <v>241</v>
      </c>
      <c r="H41" s="45"/>
      <c r="I41" s="136">
        <v>0</v>
      </c>
      <c r="J41" s="135" t="str">
        <f t="shared" si="7"/>
        <v>Segovia, Inc.100Govt_Sub</v>
      </c>
      <c r="K41" s="135"/>
      <c r="L41" s="105" t="s">
        <v>119</v>
      </c>
      <c r="M41" s="127">
        <v>60.583333333333336</v>
      </c>
      <c r="N41" s="127">
        <f t="shared" ca="1" si="8"/>
        <v>60.58</v>
      </c>
      <c r="O41" s="127">
        <f t="shared" ca="1" si="9"/>
        <v>0</v>
      </c>
      <c r="P41" s="127">
        <f t="shared" ca="1" si="9"/>
        <v>0</v>
      </c>
      <c r="Q41" s="127">
        <f t="shared" ca="1" si="10"/>
        <v>0</v>
      </c>
      <c r="R41" s="127">
        <f t="shared" ca="1" si="11"/>
        <v>1.7447039999999998</v>
      </c>
      <c r="S41" s="127"/>
      <c r="T41" s="127"/>
      <c r="U41" s="127">
        <v>0</v>
      </c>
      <c r="V41" s="127">
        <v>0</v>
      </c>
      <c r="W41" s="127">
        <v>0</v>
      </c>
      <c r="X41" s="127">
        <v>0</v>
      </c>
      <c r="Y41" s="127">
        <v>0</v>
      </c>
      <c r="Z41" s="127">
        <f ca="1">IF($G41="ManTech",(SUM($N41:$Y41)*(VLOOKUP($L41,$L$9:$AB$24,Z$6,FALSE))),(IF(R41=0,((SUM(N41,#REF!))*(VLOOKUP($L41,$L$9:$AB$24,Z$6,FALSE))),(SUM($R41:$R41)*(VLOOKUP($L41,$L$9:$AB$24,Z$6,FALSE))))))</f>
        <v>0.15615100799999998</v>
      </c>
      <c r="AA41" s="127">
        <f t="shared" ca="1" si="19"/>
        <v>62.480855007999999</v>
      </c>
      <c r="AB41" s="127">
        <f t="shared" ca="1" si="20"/>
        <v>4.9984684006400002</v>
      </c>
      <c r="AC41" s="127">
        <f t="shared" ca="1" si="21"/>
        <v>67.48</v>
      </c>
      <c r="AD41" s="104">
        <v>2040</v>
      </c>
      <c r="AE41" s="92">
        <f t="shared" ca="1" si="22"/>
        <v>137659.20000000001</v>
      </c>
      <c r="AF41" s="134">
        <f t="shared" ca="1" si="23"/>
        <v>809.76</v>
      </c>
      <c r="AG41" s="78"/>
      <c r="AH41" s="78"/>
      <c r="AI41" s="78">
        <f t="shared" ca="1" si="24"/>
        <v>127460.94421632</v>
      </c>
      <c r="AJ41" s="78">
        <f t="shared" ca="1" si="25"/>
        <v>137659.20000000001</v>
      </c>
      <c r="AK41" s="78">
        <f t="shared" ca="1" si="26"/>
        <v>10198.255783680012</v>
      </c>
      <c r="AL41" s="94">
        <f t="shared" ca="1" si="27"/>
        <v>0.08</v>
      </c>
      <c r="AM41" s="78"/>
      <c r="AN41" s="78"/>
      <c r="AO41" s="78"/>
      <c r="AP41" s="78">
        <f t="shared" si="28"/>
        <v>0</v>
      </c>
      <c r="AQ41" s="78"/>
      <c r="AR41" s="78"/>
      <c r="AS41" s="78"/>
      <c r="AT41" s="78"/>
      <c r="AU41" s="53"/>
      <c r="AV41" s="52"/>
      <c r="AW41" s="51"/>
      <c r="AZ41" s="46" t="str">
        <f t="shared" ca="1" si="29"/>
        <v>1</v>
      </c>
      <c r="BA41" s="46" t="str">
        <f t="shared" ca="1" si="30"/>
        <v>1</v>
      </c>
    </row>
    <row r="42" spans="4:53">
      <c r="D42" s="45">
        <f t="shared" si="31"/>
        <v>11</v>
      </c>
      <c r="E42" s="137" t="s">
        <v>75</v>
      </c>
      <c r="F42" s="45"/>
      <c r="G42" s="105" t="s">
        <v>99</v>
      </c>
      <c r="H42" s="45"/>
      <c r="I42" s="136">
        <v>0</v>
      </c>
      <c r="J42" s="135" t="str">
        <f t="shared" si="7"/>
        <v>ManTech110Govt</v>
      </c>
      <c r="K42" s="135"/>
      <c r="L42" s="105" t="s">
        <v>120</v>
      </c>
      <c r="M42" s="127">
        <v>27.5</v>
      </c>
      <c r="N42" s="127">
        <f t="shared" ca="1" si="8"/>
        <v>29.95</v>
      </c>
      <c r="O42" s="127">
        <f t="shared" ca="1" si="9"/>
        <v>10.4825</v>
      </c>
      <c r="P42" s="127">
        <f t="shared" ca="1" si="9"/>
        <v>10.4825</v>
      </c>
      <c r="Q42" s="127">
        <f t="shared" ca="1" si="10"/>
        <v>15.905846</v>
      </c>
      <c r="R42" s="127">
        <f t="shared" ca="1" si="11"/>
        <v>1.4901048658</v>
      </c>
      <c r="S42" s="127">
        <f ca="1">$S$10/SUM($AD$32:$AD$46)</f>
        <v>0.48771241830065359</v>
      </c>
      <c r="T42" s="127">
        <f ca="1">$T$10/SUM($AD$32:$AD$46)</f>
        <v>0.12941960784313725</v>
      </c>
      <c r="U42" s="127">
        <f>(M42*AD42)*$U$10</f>
        <v>0</v>
      </c>
      <c r="V42" s="127">
        <f>$V$10/AD42</f>
        <v>2.4509803921568629</v>
      </c>
      <c r="W42" s="127">
        <f>$W$10/AD42</f>
        <v>0.29427450980392161</v>
      </c>
      <c r="X42" s="127">
        <f ca="1">N42*$X$10</f>
        <v>0.56904999999999994</v>
      </c>
      <c r="Y42" s="127">
        <f>$Y$10/AD42</f>
        <v>1.1106862745098041</v>
      </c>
      <c r="Z42" s="127">
        <f ca="1">IF($G42="ManTech",(SUM($N42:$Y42)*(VLOOKUP($L42,$L$9:$AB$24,Z$6,FALSE))),(IF(R42=0,((SUM(N42,#REF!))*(VLOOKUP($L42,$L$9:$AB$24,Z$6,FALSE))),(SUM($R42:$R42)*(VLOOKUP($L42,$L$9:$AB$24,Z$6,FALSE))))))</f>
        <v>6.5651001291230884</v>
      </c>
      <c r="AA42" s="127">
        <f t="shared" ca="1" si="19"/>
        <v>79.918174197537496</v>
      </c>
      <c r="AB42" s="127">
        <f t="shared" ca="1" si="20"/>
        <v>6.3934539358029996</v>
      </c>
      <c r="AC42" s="127">
        <f t="shared" ca="1" si="21"/>
        <v>86.31</v>
      </c>
      <c r="AD42" s="104">
        <v>2040</v>
      </c>
      <c r="AE42" s="92">
        <f t="shared" ca="1" si="22"/>
        <v>176072.4</v>
      </c>
      <c r="AF42" s="134">
        <f t="shared" ca="1" si="23"/>
        <v>1035.72</v>
      </c>
      <c r="AG42" s="78"/>
      <c r="AH42" s="78"/>
      <c r="AI42" s="78">
        <f t="shared" ca="1" si="24"/>
        <v>163033.07536297649</v>
      </c>
      <c r="AJ42" s="78">
        <f t="shared" ca="1" si="25"/>
        <v>176072.4</v>
      </c>
      <c r="AK42" s="78">
        <f t="shared" ca="1" si="26"/>
        <v>13039.324637023499</v>
      </c>
      <c r="AL42" s="94">
        <f t="shared" ca="1" si="27"/>
        <v>0.08</v>
      </c>
      <c r="AM42" s="78"/>
      <c r="AN42" s="78"/>
      <c r="AO42" s="78"/>
      <c r="AP42" s="78">
        <f t="shared" si="28"/>
        <v>2265.8000000000002</v>
      </c>
      <c r="AQ42" s="78"/>
      <c r="AR42" s="78"/>
      <c r="AS42" s="78"/>
      <c r="AT42" s="78"/>
      <c r="AU42" s="53"/>
      <c r="AV42" s="52"/>
      <c r="AW42" s="51"/>
      <c r="AZ42" s="46" t="str">
        <f t="shared" ca="1" si="29"/>
        <v>1</v>
      </c>
      <c r="BA42" s="46" t="str">
        <f t="shared" ca="1" si="30"/>
        <v>1</v>
      </c>
    </row>
    <row r="43" spans="4:53">
      <c r="D43" s="45">
        <f t="shared" si="31"/>
        <v>12</v>
      </c>
      <c r="E43" s="137" t="s">
        <v>76</v>
      </c>
      <c r="F43" s="45"/>
      <c r="G43" s="105" t="s">
        <v>99</v>
      </c>
      <c r="H43" s="45"/>
      <c r="I43" s="136">
        <v>0</v>
      </c>
      <c r="J43" s="135" t="str">
        <f t="shared" si="7"/>
        <v>ManTech120Govt</v>
      </c>
      <c r="K43" s="135"/>
      <c r="L43" s="105" t="s">
        <v>120</v>
      </c>
      <c r="M43" s="127">
        <v>28</v>
      </c>
      <c r="N43" s="127">
        <f t="shared" ca="1" si="8"/>
        <v>30.49</v>
      </c>
      <c r="O43" s="127">
        <f t="shared" ca="1" si="9"/>
        <v>10.671499999999998</v>
      </c>
      <c r="P43" s="127">
        <f t="shared" ca="1" si="9"/>
        <v>10.671499999999998</v>
      </c>
      <c r="Q43" s="127">
        <f t="shared" ca="1" si="10"/>
        <v>16.192629199999999</v>
      </c>
      <c r="R43" s="127">
        <f t="shared" ca="1" si="11"/>
        <v>1.5169715311599996</v>
      </c>
      <c r="S43" s="127">
        <f ca="1">$S$10/SUM($AD$32:$AD$46)</f>
        <v>0.48771241830065359</v>
      </c>
      <c r="T43" s="127">
        <f ca="1">$T$10/SUM($AD$32:$AD$46)</f>
        <v>0.12941960784313725</v>
      </c>
      <c r="U43" s="127">
        <f>(M43*AD43)*$U$10</f>
        <v>0</v>
      </c>
      <c r="V43" s="127">
        <f>$V$10/AD43</f>
        <v>2.4509803921568629</v>
      </c>
      <c r="W43" s="127">
        <f>$W$10/AD43</f>
        <v>0.29427450980392161</v>
      </c>
      <c r="X43" s="127">
        <f ca="1">N43*$X$10</f>
        <v>0.57930999999999999</v>
      </c>
      <c r="Y43" s="127">
        <f>$Y$10/AD43</f>
        <v>1.1106862745098041</v>
      </c>
      <c r="Z43" s="127">
        <f ca="1">IF($G43="ManTech",(SUM($N43:$Y43)*(VLOOKUP($L43,$L$9:$AB$24,Z$6,FALSE))),(IF(R43=0,((SUM(N43,#REF!))*(VLOOKUP($L43,$L$9:$AB$24,Z$6,FALSE))),(SUM($R43:$R43)*(VLOOKUP($L43,$L$9:$AB$24,Z$6,FALSE))))))</f>
        <v>6.6762510620728071</v>
      </c>
      <c r="AA43" s="127">
        <f t="shared" ca="1" si="19"/>
        <v>81.271234995847195</v>
      </c>
      <c r="AB43" s="127">
        <f t="shared" ca="1" si="20"/>
        <v>6.5016987996677758</v>
      </c>
      <c r="AC43" s="127">
        <f t="shared" ca="1" si="21"/>
        <v>87.77</v>
      </c>
      <c r="AD43" s="104">
        <v>2040</v>
      </c>
      <c r="AE43" s="92">
        <f t="shared" ca="1" si="22"/>
        <v>179050.8</v>
      </c>
      <c r="AF43" s="134">
        <f t="shared" ca="1" si="23"/>
        <v>1053.24</v>
      </c>
      <c r="AG43" s="78"/>
      <c r="AH43" s="78"/>
      <c r="AI43" s="78">
        <f t="shared" ca="1" si="24"/>
        <v>165793.31939152829</v>
      </c>
      <c r="AJ43" s="78">
        <f t="shared" ca="1" si="25"/>
        <v>179050.8</v>
      </c>
      <c r="AK43" s="78">
        <f t="shared" ca="1" si="26"/>
        <v>13257.480608471698</v>
      </c>
      <c r="AL43" s="94">
        <f t="shared" ca="1" si="27"/>
        <v>0.08</v>
      </c>
      <c r="AM43" s="78"/>
      <c r="AN43" s="78"/>
      <c r="AO43" s="78"/>
      <c r="AP43" s="78">
        <f t="shared" si="28"/>
        <v>2265.8000000000002</v>
      </c>
      <c r="AQ43" s="78"/>
      <c r="AR43" s="78"/>
      <c r="AS43" s="78"/>
      <c r="AT43" s="78"/>
      <c r="AU43" s="53"/>
      <c r="AV43" s="52"/>
      <c r="AW43" s="51"/>
      <c r="AZ43" s="46" t="str">
        <f t="shared" ca="1" si="29"/>
        <v>1</v>
      </c>
      <c r="BA43" s="46" t="str">
        <f t="shared" ca="1" si="30"/>
        <v>1</v>
      </c>
    </row>
    <row r="44" spans="4:53">
      <c r="D44" s="45">
        <f t="shared" si="31"/>
        <v>13</v>
      </c>
      <c r="E44" s="137" t="s">
        <v>77</v>
      </c>
      <c r="F44" s="45"/>
      <c r="G44" s="105" t="s">
        <v>99</v>
      </c>
      <c r="H44" s="45"/>
      <c r="I44" s="136">
        <v>0</v>
      </c>
      <c r="J44" s="135" t="str">
        <f t="shared" si="7"/>
        <v>ManTech130Govt</v>
      </c>
      <c r="K44" s="135"/>
      <c r="L44" s="105" t="s">
        <v>120</v>
      </c>
      <c r="M44" s="127">
        <v>26</v>
      </c>
      <c r="N44" s="127">
        <f t="shared" ca="1" si="8"/>
        <v>28.32</v>
      </c>
      <c r="O44" s="127">
        <f t="shared" ca="1" si="9"/>
        <v>9.911999999999999</v>
      </c>
      <c r="P44" s="127">
        <f t="shared" ca="1" si="9"/>
        <v>9.911999999999999</v>
      </c>
      <c r="Q44" s="127">
        <f t="shared" ca="1" si="10"/>
        <v>15.040185599999999</v>
      </c>
      <c r="R44" s="127">
        <f t="shared" ca="1" si="11"/>
        <v>1.40900733888</v>
      </c>
      <c r="S44" s="127">
        <f ca="1">$S$10/SUM($AD$32:$AD$46)</f>
        <v>0.48771241830065359</v>
      </c>
      <c r="T44" s="127">
        <f ca="1">$T$10/SUM($AD$32:$AD$46)</f>
        <v>0.12941960784313725</v>
      </c>
      <c r="U44" s="127">
        <f>(M44*AD44)*$U$10</f>
        <v>0</v>
      </c>
      <c r="V44" s="127">
        <f>$V$10/AD44</f>
        <v>2.4509803921568629</v>
      </c>
      <c r="W44" s="127">
        <f>$W$10/AD44</f>
        <v>0.29427450980392161</v>
      </c>
      <c r="X44" s="127">
        <f ca="1">N44*$X$10</f>
        <v>0.53808</v>
      </c>
      <c r="Y44" s="127">
        <f>$Y$10/AD44</f>
        <v>1.1106862745098041</v>
      </c>
      <c r="Z44" s="127">
        <f ca="1">IF($G44="ManTech",(SUM($N44:$Y44)*(VLOOKUP($L44,$L$9:$AB$24,Z$6,FALSE))),(IF(R44=0,((SUM(N44,#REF!))*(VLOOKUP($L44,$L$9:$AB$24,Z$6,FALSE))),(SUM($R44:$R44)*(VLOOKUP($L44,$L$9:$AB$24,Z$6,FALSE))))))</f>
        <v>6.2295889796637463</v>
      </c>
      <c r="AA44" s="127">
        <f t="shared" ca="1" si="19"/>
        <v>75.83393512115812</v>
      </c>
      <c r="AB44" s="127">
        <f t="shared" ca="1" si="20"/>
        <v>6.06671480969265</v>
      </c>
      <c r="AC44" s="127">
        <f t="shared" ca="1" si="21"/>
        <v>81.900000000000006</v>
      </c>
      <c r="AD44" s="104">
        <v>2040</v>
      </c>
      <c r="AE44" s="92">
        <f t="shared" ca="1" si="22"/>
        <v>167076</v>
      </c>
      <c r="AF44" s="134">
        <f t="shared" ca="1" si="23"/>
        <v>982.80000000000007</v>
      </c>
      <c r="AG44" s="78"/>
      <c r="AH44" s="78"/>
      <c r="AI44" s="78">
        <f t="shared" ca="1" si="24"/>
        <v>154701.22764716257</v>
      </c>
      <c r="AJ44" s="78">
        <f t="shared" ca="1" si="25"/>
        <v>167076</v>
      </c>
      <c r="AK44" s="78">
        <f t="shared" ca="1" si="26"/>
        <v>12374.772352837434</v>
      </c>
      <c r="AL44" s="94">
        <f t="shared" ca="1" si="27"/>
        <v>0.08</v>
      </c>
      <c r="AM44" s="78"/>
      <c r="AN44" s="78"/>
      <c r="AO44" s="78"/>
      <c r="AP44" s="78">
        <f t="shared" si="28"/>
        <v>2265.8000000000002</v>
      </c>
      <c r="AQ44" s="78"/>
      <c r="AR44" s="78"/>
      <c r="AS44" s="78"/>
      <c r="AT44" s="78"/>
      <c r="AU44" s="53"/>
      <c r="AV44" s="52"/>
      <c r="AW44" s="51"/>
      <c r="AZ44" s="46" t="str">
        <f t="shared" ca="1" si="29"/>
        <v>1</v>
      </c>
      <c r="BA44" s="46" t="str">
        <f t="shared" ca="1" si="30"/>
        <v>1</v>
      </c>
    </row>
    <row r="45" spans="4:53">
      <c r="D45" s="45">
        <f t="shared" si="31"/>
        <v>14</v>
      </c>
      <c r="E45" s="137" t="s">
        <v>78</v>
      </c>
      <c r="F45" s="45"/>
      <c r="G45" s="105" t="s">
        <v>99</v>
      </c>
      <c r="H45" s="45"/>
      <c r="I45" s="136">
        <v>0</v>
      </c>
      <c r="J45" s="135" t="str">
        <f t="shared" si="7"/>
        <v>ManTech140Govt</v>
      </c>
      <c r="K45" s="135"/>
      <c r="L45" s="105" t="s">
        <v>120</v>
      </c>
      <c r="M45" s="127">
        <v>26</v>
      </c>
      <c r="N45" s="127">
        <f t="shared" ca="1" si="8"/>
        <v>28.32</v>
      </c>
      <c r="O45" s="127">
        <f t="shared" ca="1" si="9"/>
        <v>9.911999999999999</v>
      </c>
      <c r="P45" s="127">
        <f t="shared" ca="1" si="9"/>
        <v>9.911999999999999</v>
      </c>
      <c r="Q45" s="127">
        <f t="shared" ca="1" si="10"/>
        <v>15.040185599999999</v>
      </c>
      <c r="R45" s="127">
        <f t="shared" ca="1" si="11"/>
        <v>1.40900733888</v>
      </c>
      <c r="S45" s="127">
        <f ca="1">$S$10/SUM($AD$32:$AD$46)</f>
        <v>0.48771241830065359</v>
      </c>
      <c r="T45" s="127">
        <f ca="1">$T$10/SUM($AD$32:$AD$46)</f>
        <v>0.12941960784313725</v>
      </c>
      <c r="U45" s="127">
        <f>(M45*AD45)*$U$10</f>
        <v>0</v>
      </c>
      <c r="V45" s="127">
        <f>$V$10/AD45</f>
        <v>2.4509803921568629</v>
      </c>
      <c r="W45" s="127">
        <f>$W$10/AD45</f>
        <v>0.29427450980392161</v>
      </c>
      <c r="X45" s="127">
        <f ca="1">N45*$X$10</f>
        <v>0.53808</v>
      </c>
      <c r="Y45" s="127">
        <f>$Y$10/AD45</f>
        <v>1.1106862745098041</v>
      </c>
      <c r="Z45" s="127">
        <f ca="1">IF($G45="ManTech",(SUM($N45:$Y45)*(VLOOKUP($L45,$L$9:$AB$24,Z$6,FALSE))),(IF(R45=0,((SUM(N45,#REF!))*(VLOOKUP($L45,$L$9:$AB$24,Z$6,FALSE))),(SUM($R45:$R45)*(VLOOKUP($L45,$L$9:$AB$24,Z$6,FALSE))))))</f>
        <v>6.2295889796637463</v>
      </c>
      <c r="AA45" s="127">
        <f t="shared" ca="1" si="19"/>
        <v>75.83393512115812</v>
      </c>
      <c r="AB45" s="127">
        <f t="shared" ca="1" si="20"/>
        <v>6.06671480969265</v>
      </c>
      <c r="AC45" s="127">
        <f t="shared" ca="1" si="21"/>
        <v>81.900000000000006</v>
      </c>
      <c r="AD45" s="104">
        <v>2040</v>
      </c>
      <c r="AE45" s="92">
        <f t="shared" ca="1" si="22"/>
        <v>167076</v>
      </c>
      <c r="AF45" s="134">
        <f t="shared" ca="1" si="23"/>
        <v>982.80000000000007</v>
      </c>
      <c r="AG45" s="78"/>
      <c r="AH45" s="78"/>
      <c r="AI45" s="78">
        <f t="shared" ca="1" si="24"/>
        <v>154701.22764716257</v>
      </c>
      <c r="AJ45" s="78">
        <f t="shared" ca="1" si="25"/>
        <v>167076</v>
      </c>
      <c r="AK45" s="78">
        <f t="shared" ca="1" si="26"/>
        <v>12374.772352837434</v>
      </c>
      <c r="AL45" s="94">
        <f t="shared" ca="1" si="27"/>
        <v>0.08</v>
      </c>
      <c r="AM45" s="78"/>
      <c r="AN45" s="78"/>
      <c r="AO45" s="78"/>
      <c r="AP45" s="78">
        <f t="shared" si="28"/>
        <v>2265.8000000000002</v>
      </c>
      <c r="AQ45" s="78"/>
      <c r="AR45" s="78"/>
      <c r="AS45" s="78"/>
      <c r="AT45" s="78"/>
      <c r="AU45" s="53"/>
      <c r="AV45" s="52"/>
      <c r="AW45" s="51"/>
      <c r="AZ45" s="46" t="str">
        <f t="shared" ca="1" si="29"/>
        <v>1</v>
      </c>
      <c r="BA45" s="46" t="str">
        <f t="shared" ca="1" si="30"/>
        <v>1</v>
      </c>
    </row>
    <row r="46" spans="4:53">
      <c r="D46" s="45">
        <f t="shared" si="31"/>
        <v>15</v>
      </c>
      <c r="E46" s="137" t="s">
        <v>79</v>
      </c>
      <c r="F46" s="45"/>
      <c r="G46" s="105" t="s">
        <v>99</v>
      </c>
      <c r="H46" s="45"/>
      <c r="I46" s="136">
        <v>0</v>
      </c>
      <c r="J46" s="135" t="str">
        <f t="shared" si="7"/>
        <v>ManTech150Govt</v>
      </c>
      <c r="K46" s="135"/>
      <c r="L46" s="105" t="s">
        <v>120</v>
      </c>
      <c r="M46" s="127">
        <v>25</v>
      </c>
      <c r="N46" s="127">
        <f t="shared" ca="1" si="8"/>
        <v>27.23</v>
      </c>
      <c r="O46" s="127">
        <f t="shared" ca="1" si="9"/>
        <v>9.5305</v>
      </c>
      <c r="P46" s="127">
        <f t="shared" ca="1" si="9"/>
        <v>9.5305</v>
      </c>
      <c r="Q46" s="127">
        <f t="shared" ca="1" si="10"/>
        <v>14.4613084</v>
      </c>
      <c r="R46" s="127">
        <f t="shared" ca="1" si="11"/>
        <v>1.3547764773200002</v>
      </c>
      <c r="S46" s="127">
        <f ca="1">$S$10/SUM($AD$32:$AD$46)</f>
        <v>0.48771241830065359</v>
      </c>
      <c r="T46" s="127">
        <f ca="1">$T$10/SUM($AD$32:$AD$46)</f>
        <v>0.12941960784313725</v>
      </c>
      <c r="U46" s="127">
        <f>(M46*AD46)*$U$10</f>
        <v>0</v>
      </c>
      <c r="V46" s="127">
        <f>$V$10/AD46</f>
        <v>2.4509803921568629</v>
      </c>
      <c r="W46" s="127">
        <f>$W$10/AD46</f>
        <v>0.29427450980392161</v>
      </c>
      <c r="X46" s="127">
        <f ca="1">N46*$X$10</f>
        <v>0.51737</v>
      </c>
      <c r="Y46" s="127">
        <f>$Y$10/AD46</f>
        <v>1.1106862745098041</v>
      </c>
      <c r="Z46" s="127">
        <f ca="1">IF($G46="ManTech",(SUM($N46:$Y46)*(VLOOKUP($L46,$L$9:$AB$24,Z$6,FALSE))),(IF(R46=0,((SUM(N46,#REF!))*(VLOOKUP($L46,$L$9:$AB$24,Z$6,FALSE))),(SUM($R46:$R46)*(VLOOKUP($L46,$L$9:$AB$24,Z$6,FALSE))))))</f>
        <v>6.0052287631541263</v>
      </c>
      <c r="AA46" s="127">
        <f t="shared" ca="1" si="19"/>
        <v>73.1027568430885</v>
      </c>
      <c r="AB46" s="127">
        <f t="shared" ca="1" si="20"/>
        <v>5.8482205474470801</v>
      </c>
      <c r="AC46" s="127">
        <f t="shared" ca="1" si="21"/>
        <v>78.95</v>
      </c>
      <c r="AD46" s="104">
        <v>2040</v>
      </c>
      <c r="AE46" s="92">
        <f t="shared" ca="1" si="22"/>
        <v>161058</v>
      </c>
      <c r="AF46" s="134">
        <f t="shared" ca="1" si="23"/>
        <v>947.40000000000009</v>
      </c>
      <c r="AG46" s="78"/>
      <c r="AH46" s="78"/>
      <c r="AI46" s="78">
        <f t="shared" ca="1" si="24"/>
        <v>149129.62395990055</v>
      </c>
      <c r="AJ46" s="78">
        <f t="shared" ca="1" si="25"/>
        <v>161058</v>
      </c>
      <c r="AK46" s="78">
        <f t="shared" ca="1" si="26"/>
        <v>11928.376040099451</v>
      </c>
      <c r="AL46" s="94">
        <f t="shared" ca="1" si="27"/>
        <v>0.08</v>
      </c>
      <c r="AM46" s="78"/>
      <c r="AN46" s="78"/>
      <c r="AO46" s="78"/>
      <c r="AP46" s="78">
        <f t="shared" si="28"/>
        <v>2265.8000000000002</v>
      </c>
      <c r="AQ46" s="78"/>
      <c r="AR46" s="78"/>
      <c r="AS46" s="78"/>
      <c r="AT46" s="78"/>
      <c r="AU46" s="53"/>
      <c r="AV46" s="52"/>
      <c r="AW46" s="51"/>
      <c r="AZ46" s="46" t="str">
        <f t="shared" ca="1" si="29"/>
        <v>1</v>
      </c>
      <c r="BA46" s="46" t="str">
        <f t="shared" ca="1" si="30"/>
        <v>1</v>
      </c>
    </row>
    <row r="47" spans="4:53">
      <c r="E47" s="137"/>
      <c r="F47" s="45"/>
      <c r="G47" s="105"/>
      <c r="H47" s="45"/>
      <c r="I47" s="136"/>
      <c r="J47" s="135"/>
      <c r="K47" s="135"/>
      <c r="L47" s="105"/>
      <c r="M47" s="127"/>
      <c r="N47" s="127"/>
      <c r="O47" s="127"/>
      <c r="P47" s="127"/>
      <c r="Q47" s="127"/>
      <c r="R47" s="127"/>
      <c r="S47" s="127"/>
      <c r="T47" s="127"/>
      <c r="U47" s="127"/>
      <c r="V47" s="127"/>
      <c r="W47" s="127"/>
      <c r="X47" s="127"/>
      <c r="Y47" s="127"/>
      <c r="Z47" s="127"/>
      <c r="AA47" s="127"/>
      <c r="AB47" s="127"/>
      <c r="AC47" s="127"/>
      <c r="AD47" s="104"/>
      <c r="AE47" s="92"/>
      <c r="AF47" s="134"/>
      <c r="AG47" s="78"/>
      <c r="AH47" s="78"/>
      <c r="AI47" s="78"/>
      <c r="AJ47" s="78"/>
      <c r="AK47" s="78"/>
      <c r="AL47" s="94"/>
      <c r="AM47" s="78"/>
      <c r="AN47" s="78"/>
      <c r="AO47" s="78"/>
      <c r="AP47" s="78"/>
      <c r="AQ47" s="78"/>
      <c r="AR47" s="78"/>
      <c r="AS47" s="78"/>
      <c r="AT47" s="78"/>
      <c r="AU47" s="53"/>
      <c r="AV47" s="52"/>
      <c r="AW47" s="51"/>
    </row>
    <row r="48" spans="4:53">
      <c r="D48" s="45">
        <v>16</v>
      </c>
      <c r="E48" s="137" t="s">
        <v>167</v>
      </c>
      <c r="F48" s="45"/>
      <c r="G48" s="105" t="s">
        <v>99</v>
      </c>
      <c r="H48" s="45"/>
      <c r="I48" s="136" t="s">
        <v>265</v>
      </c>
      <c r="J48" s="135" t="str">
        <f>G48&amp;D48&amp;I48&amp;L48</f>
        <v>ManTech16Martin,Lindy EGovt</v>
      </c>
      <c r="K48" s="135"/>
      <c r="L48" s="105" t="s">
        <v>120</v>
      </c>
      <c r="M48" s="127">
        <v>108.5</v>
      </c>
      <c r="N48" s="127">
        <f ca="1">ROUND($M48*(VLOOKUP($L48,$L$9:$AB$24,N$6,FALSE)),2)</f>
        <v>118.17</v>
      </c>
      <c r="O48" s="127">
        <v>0</v>
      </c>
      <c r="P48" s="127">
        <v>0</v>
      </c>
      <c r="Q48" s="127">
        <f ca="1">($N48+O48+P48)*(VLOOKUP($L48,$L$9:$AB$24,Q$6,FALSE))</f>
        <v>36.916308000000001</v>
      </c>
      <c r="R48" s="127">
        <f ca="1">($N48+$Q48+O48+P48)*(VLOOKUP($L48,$L$9:$AB$24,R$6,FALSE))</f>
        <v>3.4584246684000002</v>
      </c>
      <c r="S48" s="127"/>
      <c r="T48" s="127"/>
      <c r="U48" s="127">
        <v>0</v>
      </c>
      <c r="V48" s="127">
        <v>0</v>
      </c>
      <c r="W48" s="127">
        <v>0</v>
      </c>
      <c r="X48" s="127">
        <v>0</v>
      </c>
      <c r="Y48" s="127">
        <v>0</v>
      </c>
      <c r="Z48" s="127">
        <f ca="1">IF($G48="ManTech",(SUM($N48:$Y48)*(VLOOKUP($L48,$L$9:$AB$24,Z$6,FALSE))),(IF(R48=0,((SUM(N48,#REF!))*(VLOOKUP($L48,$L$9:$AB$24,Z$6,FALSE))),(SUM($R48:$R48)*(VLOOKUP($L48,$L$9:$AB$24,Z$6,FALSE))))))</f>
        <v>14.1897535738218</v>
      </c>
      <c r="AA48" s="127">
        <f ca="1">SUM(N48:Z48)</f>
        <v>172.73448624222181</v>
      </c>
      <c r="AB48" s="127">
        <f ca="1">(AA48*(VLOOKUP($L48,$L$9:$AB$24,AB$6,FALSE)))</f>
        <v>13.818758899377745</v>
      </c>
      <c r="AC48" s="127">
        <f ca="1">ROUND(SUM(AA48:AB48),2)</f>
        <v>186.55</v>
      </c>
      <c r="AD48" s="104">
        <v>80</v>
      </c>
      <c r="AE48" s="92">
        <f ca="1">$AC48*$AD48</f>
        <v>14924</v>
      </c>
      <c r="AF48" s="134">
        <f ca="1">AC48*$AF$29</f>
        <v>2238.6000000000004</v>
      </c>
      <c r="AG48" s="78"/>
      <c r="AH48" s="78"/>
      <c r="AI48" s="78">
        <f ca="1">AA48*AD48</f>
        <v>13818.758899377744</v>
      </c>
      <c r="AJ48" s="78">
        <f ca="1">AC48*AD48</f>
        <v>14924</v>
      </c>
      <c r="AK48" s="78">
        <f ca="1">AJ48-AI48</f>
        <v>1105.2411006222555</v>
      </c>
      <c r="AL48" s="94">
        <f ca="1">IF(AK48=0,0,ROUND(AK48/AI48,2))</f>
        <v>0.08</v>
      </c>
      <c r="AM48" s="78"/>
      <c r="AN48" s="78"/>
      <c r="AO48" s="78"/>
      <c r="AP48" s="78">
        <f>Y48*AD48</f>
        <v>0</v>
      </c>
      <c r="AQ48" s="78"/>
      <c r="AR48" s="78"/>
      <c r="AS48" s="78"/>
      <c r="AT48" s="78"/>
      <c r="AU48" s="53"/>
      <c r="AV48" s="52"/>
      <c r="AW48" s="51"/>
      <c r="AZ48" s="46" t="str">
        <f t="shared" ref="AZ48:AZ54" ca="1" si="32">IF((OR((AC48=""),(AC48&gt;0))),"1","0")</f>
        <v>1</v>
      </c>
      <c r="BA48" s="46" t="str">
        <f t="shared" ref="BA48:BA54" ca="1" si="33">IF((OR((AE48=""),(AE48&gt;0))),"1","0")</f>
        <v>1</v>
      </c>
    </row>
    <row r="49" spans="2:53">
      <c r="D49" s="45">
        <f>D48+1</f>
        <v>17</v>
      </c>
      <c r="E49" s="137" t="s">
        <v>168</v>
      </c>
      <c r="F49" s="45"/>
      <c r="G49" s="105" t="s">
        <v>243</v>
      </c>
      <c r="H49" s="45"/>
      <c r="I49" s="136">
        <v>0</v>
      </c>
      <c r="J49" s="135" t="str">
        <f>G49&amp;D49&amp;I49&amp;L49</f>
        <v>Yvan170Govt_Sub</v>
      </c>
      <c r="K49" s="135"/>
      <c r="L49" s="105" t="s">
        <v>119</v>
      </c>
      <c r="M49" s="127">
        <v>148.14407599999998</v>
      </c>
      <c r="N49" s="127">
        <f ca="1">ROUND($M49*(VLOOKUP($L49,$L$9:$AB$24,N$6,FALSE)),2)</f>
        <v>148.13999999999999</v>
      </c>
      <c r="O49" s="127">
        <f ca="1">$N49*(VLOOKUP($L49,$L$9:$AB$24,O$6,FALSE))</f>
        <v>0</v>
      </c>
      <c r="P49" s="127">
        <f ca="1">$N49*(VLOOKUP($L49,$L$9:$AB$24,P$6,FALSE))</f>
        <v>0</v>
      </c>
      <c r="Q49" s="127">
        <f ca="1">($N49+O49+P49)*(VLOOKUP($L49,$L$9:$AB$24,Q$6,FALSE))</f>
        <v>0</v>
      </c>
      <c r="R49" s="127">
        <f ca="1">($N49+$Q49+O49+P49)*(VLOOKUP($L49,$L$9:$AB$24,R$6,FALSE))</f>
        <v>4.2664319999999991</v>
      </c>
      <c r="S49" s="127"/>
      <c r="T49" s="127"/>
      <c r="U49" s="127">
        <v>0</v>
      </c>
      <c r="V49" s="127">
        <v>0</v>
      </c>
      <c r="W49" s="127">
        <v>0</v>
      </c>
      <c r="X49" s="127">
        <v>0</v>
      </c>
      <c r="Y49" s="127">
        <v>0</v>
      </c>
      <c r="Z49" s="127">
        <f ca="1">IF($G49="ManTech",(SUM($N49:$Y49)*(VLOOKUP($L49,$L$9:$AB$24,Z$6,FALSE))),(IF(R49=0,((SUM(N49,#REF!))*(VLOOKUP($L49,$L$9:$AB$24,Z$6,FALSE))),(SUM($R49:$R49)*(VLOOKUP($L49,$L$9:$AB$24,Z$6,FALSE))))))</f>
        <v>0.38184566399999992</v>
      </c>
      <c r="AA49" s="127">
        <f ca="1">SUM(N49:Z49)</f>
        <v>152.78827766399999</v>
      </c>
      <c r="AB49" s="127">
        <f ca="1">(AA49*(VLOOKUP($L49,$L$9:$AB$24,AB$6,FALSE)))</f>
        <v>12.22306221312</v>
      </c>
      <c r="AC49" s="127">
        <f ca="1">ROUND(SUM(AA49:AB49),2)</f>
        <v>165.01</v>
      </c>
      <c r="AD49" s="104">
        <v>24</v>
      </c>
      <c r="AE49" s="92">
        <f ca="1">$AC49*$AD49</f>
        <v>3960.24</v>
      </c>
      <c r="AF49" s="134">
        <f ca="1">AC49*$AF$29</f>
        <v>1980.12</v>
      </c>
      <c r="AG49" s="78"/>
      <c r="AH49" s="78"/>
      <c r="AI49" s="78">
        <f ca="1">AA49*AD49</f>
        <v>3666.9186639359996</v>
      </c>
      <c r="AJ49" s="78">
        <f ca="1">AC49*AD49</f>
        <v>3960.24</v>
      </c>
      <c r="AK49" s="78">
        <f ca="1">AJ49-AI49</f>
        <v>293.32133606400021</v>
      </c>
      <c r="AL49" s="94">
        <f ca="1">IF(AK49=0,0,ROUND(AK49/AI49,2))</f>
        <v>0.08</v>
      </c>
      <c r="AM49" s="78"/>
      <c r="AN49" s="78"/>
      <c r="AO49" s="78"/>
      <c r="AP49" s="78">
        <f>Y49*AD49</f>
        <v>0</v>
      </c>
      <c r="AQ49" s="78"/>
      <c r="AR49" s="78"/>
      <c r="AS49" s="78"/>
      <c r="AT49" s="78"/>
      <c r="AU49" s="53"/>
      <c r="AV49" s="52"/>
      <c r="AW49" s="51"/>
      <c r="AZ49" s="46" t="str">
        <f t="shared" ca="1" si="32"/>
        <v>1</v>
      </c>
      <c r="BA49" s="46" t="str">
        <f t="shared" ca="1" si="33"/>
        <v>1</v>
      </c>
    </row>
    <row r="50" spans="2:53">
      <c r="E50" s="133"/>
      <c r="F50" s="49"/>
      <c r="G50" s="49"/>
      <c r="H50" s="49"/>
      <c r="I50" s="132"/>
      <c r="J50" s="131"/>
      <c r="K50" s="131"/>
      <c r="L50" s="130"/>
      <c r="M50" s="129"/>
      <c r="N50" s="129"/>
      <c r="O50" s="129"/>
      <c r="P50" s="129"/>
      <c r="Q50" s="129"/>
      <c r="R50" s="129"/>
      <c r="S50" s="129"/>
      <c r="T50" s="129"/>
      <c r="U50" s="129"/>
      <c r="V50" s="129"/>
      <c r="W50" s="129"/>
      <c r="X50" s="129"/>
      <c r="Y50" s="129"/>
      <c r="Z50" s="129"/>
      <c r="AA50" s="129"/>
      <c r="AB50" s="129"/>
      <c r="AC50" s="129"/>
      <c r="AD50" s="128"/>
      <c r="AE50" s="100"/>
      <c r="AF50" s="101"/>
      <c r="AG50" s="99"/>
      <c r="AH50" s="99"/>
      <c r="AI50" s="99"/>
      <c r="AJ50" s="99"/>
      <c r="AK50" s="99"/>
      <c r="AL50" s="99"/>
      <c r="AM50" s="99"/>
      <c r="AN50" s="99"/>
      <c r="AO50" s="99"/>
      <c r="AP50" s="99"/>
      <c r="AQ50" s="99"/>
      <c r="AR50" s="99"/>
      <c r="AS50" s="99"/>
      <c r="AT50" s="99"/>
      <c r="AU50" s="99"/>
      <c r="AV50" s="98"/>
      <c r="AW50" s="51"/>
      <c r="AZ50" s="46" t="str">
        <f t="shared" si="32"/>
        <v>1</v>
      </c>
      <c r="BA50" s="46" t="str">
        <f t="shared" si="33"/>
        <v>1</v>
      </c>
    </row>
    <row r="51" spans="2:53">
      <c r="E51" s="91"/>
      <c r="F51" s="45"/>
      <c r="G51" s="45"/>
      <c r="H51" s="45"/>
      <c r="I51" s="45"/>
      <c r="J51" s="45"/>
      <c r="K51" s="45"/>
      <c r="L51" s="45"/>
      <c r="M51" s="127"/>
      <c r="N51" s="127"/>
      <c r="O51" s="127"/>
      <c r="P51" s="127"/>
      <c r="Q51" s="127"/>
      <c r="R51" s="127"/>
      <c r="S51" s="127"/>
      <c r="T51" s="127"/>
      <c r="U51" s="127"/>
      <c r="V51" s="127"/>
      <c r="W51" s="127"/>
      <c r="X51" s="127"/>
      <c r="Y51" s="127"/>
      <c r="Z51" s="127"/>
      <c r="AA51" s="127"/>
      <c r="AB51" s="127"/>
      <c r="AC51" s="127"/>
      <c r="AD51" s="127"/>
      <c r="AE51" s="127"/>
      <c r="AF51" s="90"/>
      <c r="AG51" s="78"/>
      <c r="AH51" s="78"/>
      <c r="AI51" s="78"/>
      <c r="AJ51" s="78"/>
      <c r="AK51" s="78"/>
      <c r="AL51" s="78"/>
      <c r="AM51" s="78"/>
      <c r="AN51" s="78"/>
      <c r="AO51" s="78"/>
      <c r="AP51" s="78">
        <f>SUM(AP32:AP46)</f>
        <v>24923.799999999996</v>
      </c>
      <c r="AQ51" s="78"/>
      <c r="AR51" s="78"/>
      <c r="AS51" s="78"/>
      <c r="AT51" s="78"/>
      <c r="AU51" s="53"/>
      <c r="AV51" s="52"/>
      <c r="AW51" s="51"/>
      <c r="AZ51" s="46" t="str">
        <f t="shared" si="32"/>
        <v>1</v>
      </c>
      <c r="BA51" s="46" t="str">
        <f t="shared" si="33"/>
        <v>1</v>
      </c>
    </row>
    <row r="52" spans="2:53">
      <c r="E52" s="91"/>
      <c r="F52" s="45"/>
      <c r="G52" s="45"/>
      <c r="H52" s="45"/>
      <c r="I52" s="45"/>
      <c r="J52" s="45"/>
      <c r="K52" s="45"/>
      <c r="L52" s="45"/>
      <c r="M52" s="45"/>
      <c r="N52" s="45"/>
      <c r="O52" s="45"/>
      <c r="P52" s="45"/>
      <c r="Q52" s="45"/>
      <c r="R52" s="45"/>
      <c r="S52" s="45"/>
      <c r="T52" s="45"/>
      <c r="U52" s="45"/>
      <c r="V52" s="45"/>
      <c r="W52" s="45"/>
      <c r="X52" s="45"/>
      <c r="Y52" s="45"/>
      <c r="Z52" s="45"/>
      <c r="AA52" s="45"/>
      <c r="AB52" s="45"/>
      <c r="AC52" s="97" t="s">
        <v>118</v>
      </c>
      <c r="AD52" s="126">
        <f>SUBTOTAL(9,AD$31:AD$51)</f>
        <v>30704</v>
      </c>
      <c r="AE52" s="125">
        <f ca="1">SUBTOTAL(9,AE$31:AE$51)</f>
        <v>2646771.44</v>
      </c>
      <c r="AF52" s="90"/>
      <c r="AG52" s="78"/>
      <c r="AH52" s="78"/>
      <c r="AI52" s="78"/>
      <c r="AJ52" s="78"/>
      <c r="AK52" s="78"/>
      <c r="AL52" s="78"/>
      <c r="AM52" s="78"/>
      <c r="AN52" s="78"/>
      <c r="AO52" s="78"/>
      <c r="AP52" s="78"/>
      <c r="AQ52" s="78"/>
      <c r="AR52" s="78"/>
      <c r="AS52" s="78"/>
      <c r="AT52" s="78"/>
      <c r="AU52" s="53"/>
      <c r="AV52" s="52"/>
      <c r="AW52" s="51"/>
      <c r="AZ52" s="46" t="str">
        <f t="shared" si="32"/>
        <v>1</v>
      </c>
      <c r="BA52" s="46" t="str">
        <f t="shared" ca="1" si="33"/>
        <v>1</v>
      </c>
    </row>
    <row r="53" spans="2:53" ht="13.5" thickBot="1">
      <c r="B53" s="45" t="s">
        <v>117</v>
      </c>
      <c r="E53" s="91"/>
      <c r="F53" s="45"/>
      <c r="G53" s="45"/>
      <c r="H53" s="45"/>
      <c r="I53" s="45"/>
      <c r="J53" s="45"/>
      <c r="K53" s="45"/>
      <c r="L53" s="45"/>
      <c r="M53" s="45"/>
      <c r="N53" s="45"/>
      <c r="O53" s="45"/>
      <c r="P53" s="45"/>
      <c r="Q53" s="45"/>
      <c r="R53" s="45"/>
      <c r="S53" s="45"/>
      <c r="T53" s="45"/>
      <c r="U53" s="45"/>
      <c r="V53" s="45"/>
      <c r="W53" s="45"/>
      <c r="X53" s="45"/>
      <c r="Y53" s="45"/>
      <c r="Z53" s="45"/>
      <c r="AA53" s="45"/>
      <c r="AB53" s="45"/>
      <c r="AC53" s="97"/>
      <c r="AD53" s="124"/>
      <c r="AE53" s="53"/>
      <c r="AF53" s="90"/>
      <c r="AP53" s="47">
        <f>SUM('Year 1:Year 3'!AP51)</f>
        <v>139007</v>
      </c>
      <c r="AR53" s="89"/>
      <c r="AS53" s="88"/>
      <c r="AZ53" s="46" t="str">
        <f t="shared" si="32"/>
        <v>1</v>
      </c>
      <c r="BA53" s="46" t="str">
        <f t="shared" si="33"/>
        <v>1</v>
      </c>
    </row>
    <row r="54" spans="2:53" s="114" customFormat="1" ht="16.5" thickBot="1">
      <c r="B54" s="123">
        <v>1.4735</v>
      </c>
      <c r="E54" s="122" t="s">
        <v>116</v>
      </c>
      <c r="F54" s="119"/>
      <c r="G54" s="119"/>
      <c r="H54" s="121"/>
      <c r="I54" s="119"/>
      <c r="J54" s="120"/>
      <c r="K54" s="120"/>
      <c r="L54" s="119"/>
      <c r="M54" s="118"/>
      <c r="N54" s="118"/>
      <c r="O54" s="118"/>
      <c r="P54" s="118"/>
      <c r="Q54" s="118"/>
      <c r="R54" s="118"/>
      <c r="S54" s="118"/>
      <c r="T54" s="118"/>
      <c r="U54" s="118"/>
      <c r="V54" s="118"/>
      <c r="W54" s="118"/>
      <c r="X54" s="118"/>
      <c r="Y54" s="118"/>
      <c r="Z54" s="118"/>
      <c r="AA54" s="118"/>
      <c r="AB54" s="118"/>
      <c r="AC54" s="118"/>
      <c r="AD54" s="118"/>
      <c r="AE54" s="118"/>
      <c r="AF54" s="117"/>
      <c r="AG54" s="116"/>
      <c r="AH54" s="116"/>
      <c r="AI54" s="116"/>
      <c r="AJ54" s="116"/>
      <c r="AK54" s="116"/>
      <c r="AL54" s="116"/>
      <c r="AM54" s="116"/>
      <c r="AN54" s="116"/>
      <c r="AO54" s="116"/>
      <c r="AP54" s="116"/>
      <c r="AQ54" s="116"/>
      <c r="AR54" s="116"/>
      <c r="AS54" s="116"/>
      <c r="AT54" s="116"/>
      <c r="AU54" s="116"/>
      <c r="AV54" s="116"/>
      <c r="AW54" s="115"/>
      <c r="AZ54" s="46" t="str">
        <f t="shared" si="32"/>
        <v>1</v>
      </c>
      <c r="BA54" s="46" t="str">
        <f t="shared" si="33"/>
        <v>1</v>
      </c>
    </row>
    <row r="55" spans="2:53" ht="15.75">
      <c r="E55" s="113" t="s">
        <v>115</v>
      </c>
      <c r="F55" s="110"/>
      <c r="G55" s="110"/>
      <c r="H55" s="112"/>
      <c r="I55" s="110"/>
      <c r="J55" s="111"/>
      <c r="K55" s="111"/>
      <c r="L55" s="110"/>
      <c r="M55" s="109"/>
      <c r="N55" s="109"/>
      <c r="O55" s="109"/>
      <c r="P55" s="109"/>
      <c r="Q55" s="109"/>
      <c r="R55" s="109"/>
      <c r="S55" s="109"/>
      <c r="T55" s="109"/>
      <c r="U55" s="109"/>
      <c r="V55" s="109"/>
      <c r="W55" s="109"/>
      <c r="X55" s="109"/>
      <c r="Y55" s="109"/>
      <c r="Z55" s="109"/>
      <c r="AA55" s="109"/>
      <c r="AB55" s="109"/>
      <c r="AC55" s="109"/>
      <c r="AD55" s="109"/>
      <c r="AE55" s="109"/>
      <c r="AF55" s="108"/>
      <c r="AG55" s="93"/>
      <c r="AH55" s="93"/>
      <c r="AI55" s="78"/>
      <c r="AJ55" s="78"/>
      <c r="AK55" s="78"/>
      <c r="AL55" s="94"/>
      <c r="AM55" s="93"/>
      <c r="AN55" s="93"/>
      <c r="AO55" s="93"/>
      <c r="AP55" s="93"/>
      <c r="AQ55" s="93"/>
      <c r="AR55" s="78"/>
      <c r="AS55" s="93"/>
      <c r="AT55" s="78"/>
      <c r="AU55" s="53"/>
      <c r="AV55" s="52"/>
      <c r="AW55" s="51"/>
    </row>
    <row r="56" spans="2:53">
      <c r="E56" s="106" t="s">
        <v>114</v>
      </c>
      <c r="F56" s="45"/>
      <c r="G56" s="45"/>
      <c r="H56" s="45"/>
      <c r="I56" s="45"/>
      <c r="J56" s="45"/>
      <c r="K56" s="45"/>
      <c r="L56" s="105" t="s">
        <v>110</v>
      </c>
      <c r="M56" s="92">
        <v>499.95</v>
      </c>
      <c r="N56" s="92">
        <f ca="1">ROUND($M56*(VLOOKUP($L56,$L$9:$AB$24,N$6,FALSE)),2)</f>
        <v>499.95</v>
      </c>
      <c r="O56" s="92">
        <f t="shared" ref="O56:Q59" ca="1" si="34">ROUND($N56*(VLOOKUP($L56,$L$9:$AB$24,O$6,FALSE)),2)</f>
        <v>0</v>
      </c>
      <c r="P56" s="92">
        <f t="shared" ca="1" si="34"/>
        <v>0</v>
      </c>
      <c r="Q56" s="92">
        <f t="shared" ca="1" si="34"/>
        <v>0</v>
      </c>
      <c r="R56" s="92">
        <f ca="1">ROUND(($N56+$Q56)*(VLOOKUP($L56,$L$9:$AB$24,R$6,FALSE)),2)</f>
        <v>0</v>
      </c>
      <c r="S56" s="92"/>
      <c r="T56" s="92"/>
      <c r="U56" s="92">
        <f t="shared" ref="U56:Y59" ca="1" si="35">ROUND($N56*(VLOOKUP($L56,$L$9:$AB$24,U$6,FALSE)),2)</f>
        <v>0</v>
      </c>
      <c r="V56" s="92">
        <f t="shared" ca="1" si="35"/>
        <v>0</v>
      </c>
      <c r="W56" s="92">
        <f t="shared" ca="1" si="35"/>
        <v>0</v>
      </c>
      <c r="X56" s="92">
        <f t="shared" ca="1" si="35"/>
        <v>0</v>
      </c>
      <c r="Y56" s="92">
        <f t="shared" ca="1" si="35"/>
        <v>0</v>
      </c>
      <c r="Z56" s="92">
        <f ca="1">IF($R56=0,ROUND(SUM($N56:$R56)*(VLOOKUP($L56,$L$9:$AB$24,Z$6,FALSE)),2),ROUND(SUM($R56:$R56)*(VLOOKUP($L56,$L$9:$AB$24,Z$6,FALSE)),2))</f>
        <v>44.75</v>
      </c>
      <c r="AA56" s="92">
        <f ca="1">SUM(N56:Z56)</f>
        <v>544.70000000000005</v>
      </c>
      <c r="AB56" s="92">
        <f ca="1">ROUND(AA56*(VLOOKUP($L56,$L$9:$AB$24,AB$6,FALSE)),2)</f>
        <v>43.58</v>
      </c>
      <c r="AC56" s="92">
        <f ca="1">SUM(AA56:AB56)</f>
        <v>588.28000000000009</v>
      </c>
      <c r="AD56" s="104">
        <v>1</v>
      </c>
      <c r="AE56" s="92">
        <f ca="1">$AC56*$AD56</f>
        <v>588.28000000000009</v>
      </c>
      <c r="AF56" s="90"/>
      <c r="AG56" s="93"/>
      <c r="AH56" s="93"/>
      <c r="AI56" s="78">
        <f ca="1">AA56*AD56</f>
        <v>544.70000000000005</v>
      </c>
      <c r="AJ56" s="78">
        <f ca="1">AC56*AD56</f>
        <v>588.28000000000009</v>
      </c>
      <c r="AK56" s="78">
        <f ca="1">AJ56-AI56</f>
        <v>43.580000000000041</v>
      </c>
      <c r="AL56" s="94">
        <f ca="1">IF(AK56=0,0,ROUND(AK56/AI56,2))</f>
        <v>0.08</v>
      </c>
      <c r="AM56" s="93"/>
      <c r="AN56" s="93"/>
      <c r="AO56" s="93"/>
      <c r="AP56" s="93"/>
      <c r="AQ56" s="93"/>
      <c r="AR56" s="78"/>
      <c r="AS56" s="93"/>
      <c r="AT56" s="78"/>
      <c r="AU56" s="53"/>
      <c r="AV56" s="52"/>
      <c r="AW56" s="51"/>
      <c r="AZ56" s="46" t="str">
        <f ca="1">IF((OR((AC56=""),(AC56&gt;0))),"1","0")</f>
        <v>1</v>
      </c>
      <c r="BA56" s="46" t="str">
        <f ca="1">IF((OR((AE56=""),(AE56&gt;0))),"1","0")</f>
        <v>1</v>
      </c>
    </row>
    <row r="57" spans="2:53">
      <c r="E57" s="106" t="s">
        <v>113</v>
      </c>
      <c r="F57" s="45"/>
      <c r="G57" s="45"/>
      <c r="H57" s="45"/>
      <c r="I57" s="45"/>
      <c r="J57" s="45"/>
      <c r="K57" s="45"/>
      <c r="L57" s="105" t="s">
        <v>110</v>
      </c>
      <c r="M57" s="92">
        <v>359</v>
      </c>
      <c r="N57" s="92">
        <f ca="1">ROUND($M57*(VLOOKUP($L57,$L$9:$AB$24,N$6,FALSE)),2)</f>
        <v>359</v>
      </c>
      <c r="O57" s="92">
        <f t="shared" ca="1" si="34"/>
        <v>0</v>
      </c>
      <c r="P57" s="92">
        <f t="shared" ca="1" si="34"/>
        <v>0</v>
      </c>
      <c r="Q57" s="92">
        <f t="shared" ca="1" si="34"/>
        <v>0</v>
      </c>
      <c r="R57" s="92">
        <f ca="1">ROUND(($N57+$Q57)*(VLOOKUP($L57,$L$9:$AB$24,R$6,FALSE)),2)</f>
        <v>0</v>
      </c>
      <c r="S57" s="92"/>
      <c r="T57" s="92"/>
      <c r="U57" s="92">
        <f t="shared" ca="1" si="35"/>
        <v>0</v>
      </c>
      <c r="V57" s="92">
        <f t="shared" ca="1" si="35"/>
        <v>0</v>
      </c>
      <c r="W57" s="92">
        <f t="shared" ca="1" si="35"/>
        <v>0</v>
      </c>
      <c r="X57" s="92">
        <f t="shared" ca="1" si="35"/>
        <v>0</v>
      </c>
      <c r="Y57" s="92">
        <f t="shared" ca="1" si="35"/>
        <v>0</v>
      </c>
      <c r="Z57" s="92">
        <f ca="1">IF($R57=0,ROUND(SUM($N57:$R57)*(VLOOKUP($L57,$L$9:$AB$24,Z$6,FALSE)),2),ROUND(SUM($R57:$R57)*(VLOOKUP($L57,$L$9:$AB$24,Z$6,FALSE)),2))</f>
        <v>32.130000000000003</v>
      </c>
      <c r="AA57" s="92">
        <f ca="1">SUM(N57:Z57)</f>
        <v>391.13</v>
      </c>
      <c r="AB57" s="92">
        <f ca="1">ROUND(AA57*(VLOOKUP($L57,$L$9:$AB$24,AB$6,FALSE)),2)</f>
        <v>31.29</v>
      </c>
      <c r="AC57" s="92">
        <f ca="1">SUM(AA57:AB57)</f>
        <v>422.42</v>
      </c>
      <c r="AD57" s="104">
        <v>1</v>
      </c>
      <c r="AE57" s="92">
        <f ca="1">$AC57*$AD57</f>
        <v>422.42</v>
      </c>
      <c r="AF57" s="90"/>
      <c r="AG57" s="93"/>
      <c r="AH57" s="93"/>
      <c r="AI57" s="78">
        <f ca="1">AA57*AD57</f>
        <v>391.13</v>
      </c>
      <c r="AJ57" s="78">
        <f ca="1">AC57*AD57</f>
        <v>422.42</v>
      </c>
      <c r="AK57" s="78">
        <f ca="1">AJ57-AI57</f>
        <v>31.29000000000002</v>
      </c>
      <c r="AL57" s="94">
        <f ca="1">IF(AK57=0,0,ROUND(AK57/AI57,2))</f>
        <v>0.08</v>
      </c>
      <c r="AM57" s="93"/>
      <c r="AN57" s="93"/>
      <c r="AO57" s="93"/>
      <c r="AP57" s="93"/>
      <c r="AQ57" s="93"/>
      <c r="AR57" s="78"/>
      <c r="AS57" s="93"/>
      <c r="AT57" s="78"/>
      <c r="AU57" s="53"/>
      <c r="AV57" s="52"/>
      <c r="AW57" s="51"/>
      <c r="AZ57" s="46" t="str">
        <f ca="1">IF((OR((AC57=""),(AC57&gt;0))),"1","0")</f>
        <v>1</v>
      </c>
      <c r="BA57" s="46" t="str">
        <f ca="1">IF((OR((AE57=""),(AE57&gt;0))),"1","0")</f>
        <v>1</v>
      </c>
    </row>
    <row r="58" spans="2:53">
      <c r="E58" s="106" t="s">
        <v>112</v>
      </c>
      <c r="F58" s="45"/>
      <c r="G58" s="45"/>
      <c r="H58" s="45"/>
      <c r="I58" s="45"/>
      <c r="J58" s="45"/>
      <c r="K58" s="45"/>
      <c r="L58" s="105" t="s">
        <v>110</v>
      </c>
      <c r="M58" s="92">
        <v>199.95</v>
      </c>
      <c r="N58" s="92">
        <f ca="1">ROUND($M58*(VLOOKUP($L58,$L$9:$AB$24,N$6,FALSE)),2)</f>
        <v>199.95</v>
      </c>
      <c r="O58" s="92">
        <f t="shared" ca="1" si="34"/>
        <v>0</v>
      </c>
      <c r="P58" s="92">
        <f t="shared" ca="1" si="34"/>
        <v>0</v>
      </c>
      <c r="Q58" s="92">
        <f t="shared" ca="1" si="34"/>
        <v>0</v>
      </c>
      <c r="R58" s="92">
        <f ca="1">ROUND(($N58+$Q58)*(VLOOKUP($L58,$L$9:$AB$24,R$6,FALSE)),2)</f>
        <v>0</v>
      </c>
      <c r="S58" s="92"/>
      <c r="T58" s="92"/>
      <c r="U58" s="92">
        <f t="shared" ca="1" si="35"/>
        <v>0</v>
      </c>
      <c r="V58" s="92">
        <f t="shared" ca="1" si="35"/>
        <v>0</v>
      </c>
      <c r="W58" s="92">
        <f t="shared" ca="1" si="35"/>
        <v>0</v>
      </c>
      <c r="X58" s="92">
        <f t="shared" ca="1" si="35"/>
        <v>0</v>
      </c>
      <c r="Y58" s="92">
        <f t="shared" ca="1" si="35"/>
        <v>0</v>
      </c>
      <c r="Z58" s="92">
        <f ca="1">IF($R58=0,ROUND(SUM($N58:$R58)*(VLOOKUP($L58,$L$9:$AB$24,Z$6,FALSE)),2),ROUND(SUM($R58:$R58)*(VLOOKUP($L58,$L$9:$AB$24,Z$6,FALSE)),2))</f>
        <v>17.899999999999999</v>
      </c>
      <c r="AA58" s="92">
        <f ca="1">SUM(N58:Z58)</f>
        <v>217.85</v>
      </c>
      <c r="AB58" s="92">
        <f ca="1">ROUND(AA58*(VLOOKUP($L58,$L$9:$AB$24,AB$6,FALSE)),2)</f>
        <v>17.43</v>
      </c>
      <c r="AC58" s="92">
        <f ca="1">SUM(AA58:AB58)</f>
        <v>235.28</v>
      </c>
      <c r="AD58" s="104">
        <v>1</v>
      </c>
      <c r="AE58" s="92">
        <f ca="1">$AC58*$AD58</f>
        <v>235.28</v>
      </c>
      <c r="AF58" s="90"/>
      <c r="AG58" s="93"/>
      <c r="AH58" s="93"/>
      <c r="AI58" s="78">
        <f ca="1">AA58*AD58</f>
        <v>217.85</v>
      </c>
      <c r="AJ58" s="78">
        <f ca="1">AC58*AD58</f>
        <v>235.28</v>
      </c>
      <c r="AK58" s="78">
        <f ca="1">AJ58-AI58</f>
        <v>17.430000000000007</v>
      </c>
      <c r="AL58" s="94">
        <f ca="1">IF(AK58=0,0,ROUND(AK58/AI58,2))</f>
        <v>0.08</v>
      </c>
      <c r="AM58" s="93"/>
      <c r="AN58" s="93"/>
      <c r="AO58" s="93"/>
      <c r="AP58" s="93"/>
      <c r="AQ58" s="93"/>
      <c r="AR58" s="78"/>
      <c r="AS58" s="93"/>
      <c r="AT58" s="78"/>
      <c r="AU58" s="53"/>
      <c r="AV58" s="52"/>
      <c r="AW58" s="51"/>
    </row>
    <row r="59" spans="2:53">
      <c r="E59" s="106" t="s">
        <v>111</v>
      </c>
      <c r="F59" s="45"/>
      <c r="G59" s="45"/>
      <c r="H59" s="45"/>
      <c r="I59" s="45"/>
      <c r="J59" s="45"/>
      <c r="K59" s="45"/>
      <c r="L59" s="105" t="s">
        <v>110</v>
      </c>
      <c r="M59" s="107">
        <v>300</v>
      </c>
      <c r="N59" s="92">
        <f ca="1">ROUND($M59*(VLOOKUP($L59,$L$9:$AB$24,N$6,FALSE)),2)</f>
        <v>300</v>
      </c>
      <c r="O59" s="92">
        <f t="shared" ca="1" si="34"/>
        <v>0</v>
      </c>
      <c r="P59" s="92">
        <f t="shared" ca="1" si="34"/>
        <v>0</v>
      </c>
      <c r="Q59" s="92">
        <f t="shared" ca="1" si="34"/>
        <v>0</v>
      </c>
      <c r="R59" s="92">
        <f ca="1">ROUND(($N59+$Q59)*(VLOOKUP($L59,$L$9:$AB$24,R$6,FALSE)),2)</f>
        <v>0</v>
      </c>
      <c r="S59" s="92"/>
      <c r="T59" s="92"/>
      <c r="U59" s="92">
        <f t="shared" ca="1" si="35"/>
        <v>0</v>
      </c>
      <c r="V59" s="92">
        <f t="shared" ca="1" si="35"/>
        <v>0</v>
      </c>
      <c r="W59" s="92">
        <f t="shared" ca="1" si="35"/>
        <v>0</v>
      </c>
      <c r="X59" s="92">
        <f t="shared" ca="1" si="35"/>
        <v>0</v>
      </c>
      <c r="Y59" s="92">
        <f t="shared" ca="1" si="35"/>
        <v>0</v>
      </c>
      <c r="Z59" s="92">
        <f ca="1">IF($R59=0,ROUND(SUM($N59:$R59)*(VLOOKUP($L59,$L$9:$AB$24,Z$6,FALSE)),2),ROUND(SUM($R59:$R59)*(VLOOKUP($L59,$L$9:$AB$24,Z$6,FALSE)),2))</f>
        <v>26.85</v>
      </c>
      <c r="AA59" s="92">
        <f ca="1">SUM(N59:Z59)</f>
        <v>326.85000000000002</v>
      </c>
      <c r="AB59" s="92">
        <f ca="1">ROUND(AA59*(VLOOKUP($L59,$L$9:$AB$24,AB$6,FALSE)),2)</f>
        <v>26.15</v>
      </c>
      <c r="AC59" s="92">
        <f ca="1">SUM(AA59:AB59)</f>
        <v>353</v>
      </c>
      <c r="AD59" s="104">
        <v>1</v>
      </c>
      <c r="AE59" s="92">
        <f ca="1">$AC59*$AD59</f>
        <v>353</v>
      </c>
      <c r="AF59" s="90"/>
      <c r="AG59" s="93"/>
      <c r="AH59" s="93"/>
      <c r="AI59" s="78"/>
      <c r="AJ59" s="78"/>
      <c r="AK59" s="78"/>
      <c r="AL59" s="94"/>
      <c r="AM59" s="93"/>
      <c r="AN59" s="93"/>
      <c r="AO59" s="93"/>
      <c r="AP59" s="93"/>
      <c r="AQ59" s="93"/>
      <c r="AR59" s="78"/>
      <c r="AS59" s="93"/>
      <c r="AT59" s="78"/>
      <c r="AU59" s="53"/>
      <c r="AV59" s="52"/>
      <c r="AW59" s="51"/>
    </row>
    <row r="60" spans="2:53">
      <c r="E60" s="106"/>
      <c r="F60" s="45"/>
      <c r="G60" s="45"/>
      <c r="H60" s="45"/>
      <c r="I60" s="45"/>
      <c r="J60" s="45"/>
      <c r="K60" s="45"/>
      <c r="L60" s="105"/>
      <c r="M60" s="92"/>
      <c r="N60" s="92"/>
      <c r="O60" s="92"/>
      <c r="P60" s="92"/>
      <c r="Q60" s="92"/>
      <c r="R60" s="92"/>
      <c r="S60" s="92"/>
      <c r="T60" s="92"/>
      <c r="U60" s="92"/>
      <c r="V60" s="92"/>
      <c r="W60" s="92"/>
      <c r="X60" s="92"/>
      <c r="Y60" s="92"/>
      <c r="Z60" s="92"/>
      <c r="AA60" s="92"/>
      <c r="AB60" s="92"/>
      <c r="AC60" s="92" t="s">
        <v>109</v>
      </c>
      <c r="AD60" s="104"/>
      <c r="AE60" s="92">
        <f ca="1">SUBTOTAL(9,AE56:AE59)</f>
        <v>1598.98</v>
      </c>
      <c r="AF60" s="90"/>
      <c r="AG60" s="93"/>
      <c r="AH60" s="93"/>
      <c r="AI60" s="78"/>
      <c r="AJ60" s="78"/>
      <c r="AK60" s="78"/>
      <c r="AL60" s="94"/>
      <c r="AM60" s="93"/>
      <c r="AN60" s="93"/>
      <c r="AO60" s="93"/>
      <c r="AP60" s="93"/>
      <c r="AQ60" s="93"/>
      <c r="AR60" s="78"/>
      <c r="AS60" s="93"/>
      <c r="AT60" s="78"/>
      <c r="AU60" s="53"/>
      <c r="AV60" s="52"/>
      <c r="AW60" s="51"/>
    </row>
    <row r="61" spans="2:53">
      <c r="E61" s="103"/>
      <c r="F61" s="49"/>
      <c r="G61" s="49"/>
      <c r="H61" s="49"/>
      <c r="I61" s="49"/>
      <c r="J61" s="49"/>
      <c r="K61" s="49"/>
      <c r="L61" s="49"/>
      <c r="M61" s="100"/>
      <c r="N61" s="100"/>
      <c r="O61" s="100"/>
      <c r="P61" s="100"/>
      <c r="Q61" s="100"/>
      <c r="R61" s="100"/>
      <c r="S61" s="100"/>
      <c r="T61" s="100"/>
      <c r="U61" s="100"/>
      <c r="V61" s="100"/>
      <c r="W61" s="100"/>
      <c r="X61" s="100"/>
      <c r="Y61" s="100"/>
      <c r="Z61" s="100"/>
      <c r="AA61" s="100"/>
      <c r="AB61" s="100"/>
      <c r="AC61" s="100"/>
      <c r="AD61" s="102"/>
      <c r="AE61" s="100"/>
      <c r="AF61" s="101"/>
      <c r="AG61" s="100"/>
      <c r="AH61" s="100"/>
      <c r="AI61" s="100"/>
      <c r="AJ61" s="100"/>
      <c r="AK61" s="100"/>
      <c r="AL61" s="100"/>
      <c r="AM61" s="100"/>
      <c r="AN61" s="100"/>
      <c r="AO61" s="100"/>
      <c r="AP61" s="100"/>
      <c r="AQ61" s="100"/>
      <c r="AR61" s="99"/>
      <c r="AS61" s="100"/>
      <c r="AT61" s="99"/>
      <c r="AU61" s="99"/>
      <c r="AV61" s="98"/>
      <c r="AW61" s="51"/>
      <c r="AZ61" s="46" t="str">
        <f t="shared" ref="AZ61:AZ92" si="36">IF((OR((AC61=""),(AC61&gt;0))),"1","0")</f>
        <v>1</v>
      </c>
      <c r="BA61" s="46" t="str">
        <f t="shared" ref="BA61:BA92" si="37">IF((OR((AE61=""),(AE61&gt;0))),"1","0")</f>
        <v>1</v>
      </c>
    </row>
    <row r="62" spans="2:53">
      <c r="E62" s="91"/>
      <c r="F62" s="45"/>
      <c r="G62" s="45"/>
      <c r="H62" s="45"/>
      <c r="I62" s="45"/>
      <c r="J62" s="45"/>
      <c r="K62" s="45"/>
      <c r="L62" s="45"/>
      <c r="M62" s="45"/>
      <c r="N62" s="45"/>
      <c r="O62" s="45"/>
      <c r="P62" s="45"/>
      <c r="Q62" s="45"/>
      <c r="R62" s="45"/>
      <c r="S62" s="45"/>
      <c r="T62" s="45"/>
      <c r="U62" s="45"/>
      <c r="V62" s="45"/>
      <c r="W62" s="45"/>
      <c r="X62" s="45"/>
      <c r="Y62" s="45"/>
      <c r="Z62" s="45"/>
      <c r="AA62" s="45"/>
      <c r="AB62" s="45"/>
      <c r="AC62" s="45"/>
      <c r="AD62" s="45"/>
      <c r="AE62" s="92"/>
      <c r="AF62" s="90"/>
      <c r="AZ62" s="46" t="str">
        <f t="shared" si="36"/>
        <v>1</v>
      </c>
      <c r="BA62" s="46" t="str">
        <f t="shared" si="37"/>
        <v>1</v>
      </c>
    </row>
    <row r="63" spans="2:53">
      <c r="E63" s="91"/>
      <c r="F63" s="45"/>
      <c r="G63" s="45"/>
      <c r="H63" s="45"/>
      <c r="I63" s="45"/>
      <c r="J63" s="45"/>
      <c r="K63" s="45"/>
      <c r="L63" s="45"/>
      <c r="M63" s="45"/>
      <c r="N63" s="45"/>
      <c r="O63" s="45"/>
      <c r="P63" s="45"/>
      <c r="Q63" s="45"/>
      <c r="R63" s="45"/>
      <c r="S63" s="45"/>
      <c r="T63" s="45"/>
      <c r="U63" s="45"/>
      <c r="V63" s="45"/>
      <c r="W63" s="45"/>
      <c r="X63" s="45"/>
      <c r="Y63" s="45"/>
      <c r="Z63" s="45"/>
      <c r="AA63" s="45"/>
      <c r="AB63" s="45"/>
      <c r="AC63" s="97" t="s">
        <v>108</v>
      </c>
      <c r="AD63" s="96"/>
      <c r="AE63" s="95">
        <f ca="1">SUBTOTAL(9,AE$54:AE$62)</f>
        <v>1598.98</v>
      </c>
      <c r="AF63" s="90"/>
      <c r="AG63" s="93"/>
      <c r="AH63" s="93"/>
      <c r="AI63" s="93">
        <f ca="1">SUM(AI32:AI58)</f>
        <v>2451905.5046474435</v>
      </c>
      <c r="AJ63" s="93">
        <f ca="1">SUM(AJ32:AJ58)</f>
        <v>2648017.4199999995</v>
      </c>
      <c r="AK63" s="93">
        <f ca="1">SUM(AK32:AK58)</f>
        <v>196111.91535255619</v>
      </c>
      <c r="AL63" s="94">
        <f ca="1">IF(AK63=0,0,ROUND(AK63/AI63,2))</f>
        <v>0.08</v>
      </c>
      <c r="AM63" s="93"/>
      <c r="AN63" s="93"/>
      <c r="AO63" s="93"/>
      <c r="AP63" s="93"/>
      <c r="AQ63" s="93"/>
      <c r="AR63" s="93"/>
      <c r="AS63" s="93"/>
      <c r="AT63" s="93"/>
      <c r="AU63" s="92"/>
      <c r="AV63" s="52"/>
      <c r="AW63" s="51"/>
      <c r="AZ63" s="46" t="str">
        <f t="shared" si="36"/>
        <v>1</v>
      </c>
      <c r="BA63" s="46" t="str">
        <f t="shared" ca="1" si="37"/>
        <v>1</v>
      </c>
    </row>
    <row r="64" spans="2:53">
      <c r="E64" s="91"/>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90"/>
      <c r="AR64" s="89"/>
      <c r="AS64" s="88"/>
      <c r="AZ64" s="46" t="str">
        <f t="shared" si="36"/>
        <v>1</v>
      </c>
      <c r="BA64" s="46" t="str">
        <f t="shared" si="37"/>
        <v>1</v>
      </c>
    </row>
    <row r="65" spans="5:53">
      <c r="E65" s="87"/>
      <c r="F65" s="85"/>
      <c r="G65" s="85"/>
      <c r="H65" s="85"/>
      <c r="I65" s="85"/>
      <c r="J65" s="85"/>
      <c r="K65" s="85"/>
      <c r="L65" s="85"/>
      <c r="M65" s="85"/>
      <c r="N65" s="85"/>
      <c r="O65" s="85"/>
      <c r="P65" s="85"/>
      <c r="Q65" s="85"/>
      <c r="R65" s="85"/>
      <c r="S65" s="85"/>
      <c r="T65" s="85"/>
      <c r="U65" s="85"/>
      <c r="V65" s="85"/>
      <c r="W65" s="85"/>
      <c r="X65" s="85"/>
      <c r="Y65" s="85"/>
      <c r="Z65" s="85"/>
      <c r="AA65" s="85"/>
      <c r="AB65" s="85"/>
      <c r="AC65" s="85"/>
      <c r="AD65" s="85"/>
      <c r="AE65" s="85"/>
      <c r="AF65" s="86"/>
      <c r="AG65" s="85"/>
      <c r="AH65" s="85"/>
      <c r="AI65" s="85"/>
      <c r="AJ65" s="85"/>
      <c r="AK65" s="85"/>
      <c r="AL65" s="85"/>
      <c r="AM65" s="85"/>
      <c r="AN65" s="85"/>
      <c r="AO65" s="85"/>
      <c r="AP65" s="85"/>
      <c r="AQ65" s="85"/>
      <c r="AR65" s="85"/>
      <c r="AS65" s="85"/>
      <c r="AT65" s="85"/>
      <c r="AV65" s="85"/>
      <c r="AZ65" s="46" t="str">
        <f t="shared" si="36"/>
        <v>1</v>
      </c>
      <c r="BA65" s="46" t="str">
        <f t="shared" si="37"/>
        <v>1</v>
      </c>
    </row>
    <row r="66" spans="5:53" ht="13.5" thickBot="1">
      <c r="E66" s="84"/>
      <c r="F66" s="83"/>
      <c r="G66" s="83"/>
      <c r="H66" s="83"/>
      <c r="I66" s="83"/>
      <c r="J66" s="83"/>
      <c r="K66" s="83"/>
      <c r="L66" s="83"/>
      <c r="M66" s="83"/>
      <c r="N66" s="83"/>
      <c r="O66" s="83"/>
      <c r="P66" s="83"/>
      <c r="Q66" s="83"/>
      <c r="R66" s="83"/>
      <c r="S66" s="83"/>
      <c r="T66" s="83"/>
      <c r="U66" s="83"/>
      <c r="V66" s="83"/>
      <c r="W66" s="83"/>
      <c r="X66" s="83"/>
      <c r="Y66" s="83"/>
      <c r="Z66" s="83"/>
      <c r="AA66" s="83"/>
      <c r="AB66" s="83"/>
      <c r="AC66" s="82" t="s">
        <v>107</v>
      </c>
      <c r="AD66" s="81">
        <f>AD52</f>
        <v>30704</v>
      </c>
      <c r="AE66" s="80">
        <f ca="1">SUBTOTAL(9,AE$31:AE$65)</f>
        <v>2648370.4199999995</v>
      </c>
      <c r="AF66" s="79"/>
      <c r="AG66" s="78"/>
      <c r="AH66" s="78"/>
      <c r="AI66" s="78"/>
      <c r="AJ66" s="78"/>
      <c r="AK66" s="78"/>
      <c r="AL66" s="78"/>
      <c r="AM66" s="78"/>
      <c r="AN66" s="78"/>
      <c r="AO66" s="78"/>
      <c r="AP66" s="78"/>
      <c r="AQ66" s="78"/>
      <c r="AR66" s="78"/>
      <c r="AS66" s="78"/>
      <c r="AT66" s="78"/>
      <c r="AU66" s="53"/>
      <c r="AV66" s="52"/>
      <c r="AW66" s="51"/>
      <c r="AZ66" s="46" t="str">
        <f t="shared" si="36"/>
        <v>1</v>
      </c>
      <c r="BA66" s="46" t="str">
        <f t="shared" ca="1" si="37"/>
        <v>1</v>
      </c>
    </row>
    <row r="67" spans="5:53">
      <c r="AR67" s="77"/>
      <c r="AS67" s="76"/>
      <c r="AZ67" s="46" t="str">
        <f t="shared" si="36"/>
        <v>1</v>
      </c>
      <c r="BA67" s="46" t="str">
        <f t="shared" si="37"/>
        <v>1</v>
      </c>
    </row>
    <row r="68" spans="5:53">
      <c r="AZ68" s="46" t="str">
        <f t="shared" si="36"/>
        <v>1</v>
      </c>
      <c r="BA68" s="46" t="str">
        <f t="shared" si="37"/>
        <v>1</v>
      </c>
    </row>
    <row r="69" spans="5:53">
      <c r="O69" s="73"/>
      <c r="P69" s="73"/>
      <c r="R69" s="75" t="s">
        <v>106</v>
      </c>
      <c r="S69" s="74"/>
      <c r="T69" s="74"/>
      <c r="U69" s="73"/>
      <c r="V69" s="73"/>
      <c r="W69" s="73"/>
      <c r="X69" s="73"/>
      <c r="Y69" s="73"/>
      <c r="Z69" s="72" t="s">
        <v>105</v>
      </c>
      <c r="AA69" s="71" t="s">
        <v>104</v>
      </c>
      <c r="AB69" s="72" t="s">
        <v>103</v>
      </c>
      <c r="AC69" s="71" t="s">
        <v>102</v>
      </c>
      <c r="AD69" s="72" t="s">
        <v>101</v>
      </c>
      <c r="AE69" s="71" t="s">
        <v>100</v>
      </c>
      <c r="AZ69" s="46" t="str">
        <f t="shared" si="36"/>
        <v>1</v>
      </c>
      <c r="BA69" s="46" t="str">
        <f t="shared" si="37"/>
        <v>1</v>
      </c>
    </row>
    <row r="70" spans="5:53">
      <c r="O70" s="45"/>
      <c r="P70" s="45"/>
      <c r="R70" s="67" t="s">
        <v>99</v>
      </c>
      <c r="S70" s="66"/>
      <c r="T70" s="66"/>
      <c r="U70" s="45"/>
      <c r="V70" s="45"/>
      <c r="W70" s="45"/>
      <c r="X70" s="45"/>
      <c r="Y70" s="45"/>
      <c r="Z70" s="64">
        <f t="shared" ref="Z70:Z90" si="38">IF(AD70=0,0,(AD70/AD$91))</f>
        <v>0.73345492443981242</v>
      </c>
      <c r="AA70" s="65">
        <f t="shared" ref="AA70:AA90" ca="1" si="39">IF(AE70=0,0,(AE70/AE$91))</f>
        <v>0.76563694521352388</v>
      </c>
      <c r="AB70" s="70" t="s">
        <v>98</v>
      </c>
      <c r="AC70" s="69" t="s">
        <v>98</v>
      </c>
      <c r="AD70" s="62">
        <f t="shared" ref="AD70:AE90" si="40">SUMIF($G$31:$G$53,$R70,AD$31:AD$64)</f>
        <v>22520</v>
      </c>
      <c r="AE70" s="61">
        <f t="shared" ca="1" si="40"/>
        <v>2026466</v>
      </c>
      <c r="AF70" s="47" t="str">
        <f t="shared" ref="AF70:AF90" si="41">R70</f>
        <v>ManTech</v>
      </c>
      <c r="AG70" s="53"/>
      <c r="AH70" s="53"/>
      <c r="AI70" s="53"/>
      <c r="AJ70" s="53"/>
      <c r="AK70" s="53"/>
      <c r="AL70" s="53"/>
      <c r="AM70" s="53"/>
      <c r="AN70" s="53"/>
      <c r="AO70" s="53"/>
      <c r="AP70" s="53"/>
      <c r="AQ70" s="53"/>
      <c r="AR70" s="53"/>
      <c r="AS70" s="53"/>
      <c r="AT70" s="53"/>
      <c r="AU70" s="53"/>
      <c r="AV70" s="52"/>
      <c r="AW70" s="51"/>
      <c r="AZ70" s="46" t="str">
        <f t="shared" si="36"/>
        <v>1</v>
      </c>
      <c r="BA70" s="46" t="str">
        <f t="shared" ca="1" si="37"/>
        <v>1</v>
      </c>
    </row>
    <row r="71" spans="5:53">
      <c r="M71" s="68"/>
      <c r="O71" s="45"/>
      <c r="P71" s="45"/>
      <c r="R71" s="67" t="s">
        <v>241</v>
      </c>
      <c r="S71" s="66"/>
      <c r="T71" s="66"/>
      <c r="U71" s="45"/>
      <c r="V71" s="45"/>
      <c r="W71" s="45"/>
      <c r="X71" s="45"/>
      <c r="Y71" s="45"/>
      <c r="Z71" s="64">
        <f t="shared" si="38"/>
        <v>0.26576341844710788</v>
      </c>
      <c r="AA71" s="65">
        <f t="shared" ca="1" si="39"/>
        <v>0.23286680167593157</v>
      </c>
      <c r="AB71" s="64">
        <f t="shared" ref="AB71:AB90" si="42">IF(AD71=0,0,(AD71/(AD$91-AD$70)))</f>
        <v>0.99706744868035191</v>
      </c>
      <c r="AC71" s="63">
        <f t="shared" ref="AC71:AC90" ca="1" si="43">IF(AE71=0,0,(AE71/(AE$91-AE$70)))</f>
        <v>0.99361566134257917</v>
      </c>
      <c r="AD71" s="62">
        <f t="shared" si="40"/>
        <v>8160</v>
      </c>
      <c r="AE71" s="61">
        <f t="shared" ca="1" si="40"/>
        <v>616345.19999999995</v>
      </c>
      <c r="AF71" s="47" t="str">
        <f t="shared" si="41"/>
        <v>Segovia, Inc.</v>
      </c>
      <c r="AG71" s="53"/>
      <c r="AH71" s="53"/>
      <c r="AI71" s="53"/>
      <c r="AJ71" s="53"/>
      <c r="AK71" s="53"/>
      <c r="AL71" s="53"/>
      <c r="AM71" s="53"/>
      <c r="AN71" s="53"/>
      <c r="AO71" s="53"/>
      <c r="AP71" s="53"/>
      <c r="AQ71" s="53"/>
      <c r="AR71" s="53"/>
      <c r="AS71" s="53"/>
      <c r="AT71" s="53"/>
      <c r="AU71" s="53"/>
      <c r="AV71" s="52"/>
      <c r="AW71" s="51"/>
      <c r="AZ71" s="46" t="str">
        <f t="shared" ca="1" si="36"/>
        <v>1</v>
      </c>
      <c r="BA71" s="46" t="str">
        <f t="shared" ca="1" si="37"/>
        <v>1</v>
      </c>
    </row>
    <row r="72" spans="5:53">
      <c r="M72" s="68"/>
      <c r="O72" s="45"/>
      <c r="P72" s="45"/>
      <c r="R72" s="67" t="s">
        <v>242</v>
      </c>
      <c r="S72" s="66"/>
      <c r="T72" s="66"/>
      <c r="U72" s="45"/>
      <c r="V72" s="45"/>
      <c r="W72" s="45"/>
      <c r="X72" s="45"/>
      <c r="Y72" s="45"/>
      <c r="Z72" s="64">
        <f t="shared" si="38"/>
        <v>0</v>
      </c>
      <c r="AA72" s="65">
        <f t="shared" si="39"/>
        <v>0</v>
      </c>
      <c r="AB72" s="64">
        <f t="shared" si="42"/>
        <v>0</v>
      </c>
      <c r="AC72" s="63">
        <f t="shared" si="43"/>
        <v>0</v>
      </c>
      <c r="AD72" s="62">
        <f t="shared" si="40"/>
        <v>0</v>
      </c>
      <c r="AE72" s="61">
        <f t="shared" si="40"/>
        <v>0</v>
      </c>
      <c r="AF72" s="47" t="str">
        <f t="shared" si="41"/>
        <v>Briggs and Sons</v>
      </c>
      <c r="AG72" s="53"/>
      <c r="AH72" s="53"/>
      <c r="AI72" s="53"/>
      <c r="AJ72" s="53"/>
      <c r="AK72" s="53"/>
      <c r="AL72" s="53"/>
      <c r="AM72" s="53"/>
      <c r="AN72" s="53"/>
      <c r="AO72" s="53"/>
      <c r="AP72" s="53"/>
      <c r="AQ72" s="53"/>
      <c r="AR72" s="53"/>
      <c r="AS72" s="53"/>
      <c r="AT72" s="53"/>
      <c r="AU72" s="53"/>
      <c r="AV72" s="52"/>
      <c r="AW72" s="51"/>
      <c r="AZ72" s="46" t="str">
        <f t="shared" si="36"/>
        <v>0</v>
      </c>
      <c r="BA72" s="46" t="str">
        <f t="shared" si="37"/>
        <v>0</v>
      </c>
    </row>
    <row r="73" spans="5:53">
      <c r="M73" s="68"/>
      <c r="O73" s="45"/>
      <c r="P73" s="45"/>
      <c r="R73" s="67" t="s">
        <v>243</v>
      </c>
      <c r="S73" s="66"/>
      <c r="T73" s="66"/>
      <c r="U73" s="45"/>
      <c r="V73" s="45"/>
      <c r="W73" s="45"/>
      <c r="X73" s="45"/>
      <c r="Y73" s="45"/>
      <c r="Z73" s="64">
        <f t="shared" si="38"/>
        <v>7.8165711307972901E-4</v>
      </c>
      <c r="AA73" s="65">
        <f t="shared" ca="1" si="39"/>
        <v>1.4962531105443691E-3</v>
      </c>
      <c r="AB73" s="64">
        <f t="shared" si="42"/>
        <v>2.9325513196480938E-3</v>
      </c>
      <c r="AC73" s="63">
        <f t="shared" ca="1" si="43"/>
        <v>6.3843386574201208E-3</v>
      </c>
      <c r="AD73" s="62">
        <f t="shared" si="40"/>
        <v>24</v>
      </c>
      <c r="AE73" s="61">
        <f t="shared" ca="1" si="40"/>
        <v>3960.24</v>
      </c>
      <c r="AF73" s="47" t="str">
        <f t="shared" si="41"/>
        <v>Yvan</v>
      </c>
      <c r="AG73" s="53"/>
      <c r="AH73" s="53"/>
      <c r="AI73" s="53"/>
      <c r="AJ73" s="53"/>
      <c r="AK73" s="53"/>
      <c r="AL73" s="53"/>
      <c r="AM73" s="53"/>
      <c r="AN73" s="53"/>
      <c r="AO73" s="53"/>
      <c r="AP73" s="53"/>
      <c r="AQ73" s="53"/>
      <c r="AR73" s="53"/>
      <c r="AS73" s="53"/>
      <c r="AT73" s="53"/>
      <c r="AU73" s="53"/>
      <c r="AV73" s="52"/>
      <c r="AW73" s="51"/>
      <c r="AZ73" s="46" t="str">
        <f t="shared" ca="1" si="36"/>
        <v>1</v>
      </c>
      <c r="BA73" s="46" t="str">
        <f t="shared" ca="1" si="37"/>
        <v>1</v>
      </c>
    </row>
    <row r="74" spans="5:53">
      <c r="O74" s="45"/>
      <c r="P74" s="45"/>
      <c r="R74" s="67" t="s">
        <v>244</v>
      </c>
      <c r="S74" s="66"/>
      <c r="T74" s="66"/>
      <c r="U74" s="45"/>
      <c r="V74" s="45"/>
      <c r="W74" s="45"/>
      <c r="X74" s="45"/>
      <c r="Y74" s="45"/>
      <c r="Z74" s="64">
        <f t="shared" si="38"/>
        <v>0</v>
      </c>
      <c r="AA74" s="65">
        <f t="shared" si="39"/>
        <v>0</v>
      </c>
      <c r="AB74" s="64">
        <f t="shared" si="42"/>
        <v>0</v>
      </c>
      <c r="AC74" s="63">
        <f t="shared" si="43"/>
        <v>0</v>
      </c>
      <c r="AD74" s="62">
        <f t="shared" si="40"/>
        <v>0</v>
      </c>
      <c r="AE74" s="61">
        <f t="shared" si="40"/>
        <v>0</v>
      </c>
      <c r="AF74" s="47" t="str">
        <f t="shared" si="41"/>
        <v>Sub 4</v>
      </c>
      <c r="AG74" s="53"/>
      <c r="AH74" s="53"/>
      <c r="AI74" s="53"/>
      <c r="AJ74" s="53"/>
      <c r="AK74" s="53"/>
      <c r="AL74" s="53"/>
      <c r="AM74" s="53"/>
      <c r="AN74" s="53"/>
      <c r="AO74" s="53"/>
      <c r="AP74" s="53"/>
      <c r="AQ74" s="53"/>
      <c r="AR74" s="53"/>
      <c r="AS74" s="53"/>
      <c r="AT74" s="53"/>
      <c r="AU74" s="53"/>
      <c r="AV74" s="52"/>
      <c r="AW74" s="51"/>
      <c r="AZ74" s="46" t="str">
        <f t="shared" si="36"/>
        <v>0</v>
      </c>
      <c r="BA74" s="46" t="str">
        <f t="shared" si="37"/>
        <v>0</v>
      </c>
    </row>
    <row r="75" spans="5:53">
      <c r="O75" s="45"/>
      <c r="P75" s="45"/>
      <c r="R75" s="67" t="s">
        <v>245</v>
      </c>
      <c r="S75" s="66"/>
      <c r="T75" s="66"/>
      <c r="U75" s="45"/>
      <c r="V75" s="45"/>
      <c r="W75" s="45"/>
      <c r="X75" s="45"/>
      <c r="Y75" s="45"/>
      <c r="Z75" s="64">
        <f t="shared" si="38"/>
        <v>0</v>
      </c>
      <c r="AA75" s="65">
        <f t="shared" si="39"/>
        <v>0</v>
      </c>
      <c r="AB75" s="64">
        <f t="shared" si="42"/>
        <v>0</v>
      </c>
      <c r="AC75" s="63">
        <f t="shared" si="43"/>
        <v>0</v>
      </c>
      <c r="AD75" s="62">
        <f t="shared" si="40"/>
        <v>0</v>
      </c>
      <c r="AE75" s="61">
        <f t="shared" si="40"/>
        <v>0</v>
      </c>
      <c r="AF75" s="47" t="str">
        <f t="shared" si="41"/>
        <v>Sub 5</v>
      </c>
      <c r="AG75" s="53"/>
      <c r="AH75" s="53"/>
      <c r="AI75" s="53"/>
      <c r="AJ75" s="53"/>
      <c r="AK75" s="53"/>
      <c r="AL75" s="53"/>
      <c r="AM75" s="53"/>
      <c r="AN75" s="53"/>
      <c r="AO75" s="53"/>
      <c r="AP75" s="53"/>
      <c r="AQ75" s="53"/>
      <c r="AR75" s="53"/>
      <c r="AS75" s="53"/>
      <c r="AT75" s="53"/>
      <c r="AU75" s="53"/>
      <c r="AV75" s="52"/>
      <c r="AW75" s="51"/>
      <c r="AZ75" s="46" t="str">
        <f t="shared" si="36"/>
        <v>0</v>
      </c>
      <c r="BA75" s="46" t="str">
        <f t="shared" si="37"/>
        <v>0</v>
      </c>
    </row>
    <row r="76" spans="5:53">
      <c r="O76" s="45"/>
      <c r="P76" s="45"/>
      <c r="R76" s="67" t="s">
        <v>246</v>
      </c>
      <c r="S76" s="66"/>
      <c r="T76" s="66"/>
      <c r="U76" s="45"/>
      <c r="V76" s="45"/>
      <c r="W76" s="45"/>
      <c r="X76" s="45"/>
      <c r="Y76" s="45"/>
      <c r="Z76" s="64">
        <f t="shared" si="38"/>
        <v>0</v>
      </c>
      <c r="AA76" s="65">
        <f t="shared" si="39"/>
        <v>0</v>
      </c>
      <c r="AB76" s="64">
        <f t="shared" si="42"/>
        <v>0</v>
      </c>
      <c r="AC76" s="63">
        <f t="shared" si="43"/>
        <v>0</v>
      </c>
      <c r="AD76" s="62">
        <f t="shared" si="40"/>
        <v>0</v>
      </c>
      <c r="AE76" s="61">
        <f t="shared" si="40"/>
        <v>0</v>
      </c>
      <c r="AF76" s="47" t="str">
        <f t="shared" si="41"/>
        <v>Sub 6</v>
      </c>
      <c r="AG76" s="53"/>
      <c r="AH76" s="53"/>
      <c r="AI76" s="53"/>
      <c r="AJ76" s="53"/>
      <c r="AK76" s="53"/>
      <c r="AL76" s="53"/>
      <c r="AM76" s="53"/>
      <c r="AN76" s="53"/>
      <c r="AO76" s="53"/>
      <c r="AP76" s="53"/>
      <c r="AQ76" s="53"/>
      <c r="AR76" s="53"/>
      <c r="AS76" s="53"/>
      <c r="AT76" s="53"/>
      <c r="AU76" s="53"/>
      <c r="AV76" s="52"/>
      <c r="AW76" s="51"/>
      <c r="AZ76" s="46" t="str">
        <f t="shared" si="36"/>
        <v>0</v>
      </c>
      <c r="BA76" s="46" t="str">
        <f t="shared" si="37"/>
        <v>0</v>
      </c>
    </row>
    <row r="77" spans="5:53">
      <c r="O77" s="45"/>
      <c r="P77" s="45"/>
      <c r="R77" s="67" t="s">
        <v>247</v>
      </c>
      <c r="S77" s="66"/>
      <c r="T77" s="66"/>
      <c r="U77" s="45"/>
      <c r="V77" s="45"/>
      <c r="W77" s="45"/>
      <c r="X77" s="45"/>
      <c r="Y77" s="45"/>
      <c r="Z77" s="64">
        <f t="shared" si="38"/>
        <v>0</v>
      </c>
      <c r="AA77" s="65">
        <f t="shared" si="39"/>
        <v>0</v>
      </c>
      <c r="AB77" s="64">
        <f t="shared" si="42"/>
        <v>0</v>
      </c>
      <c r="AC77" s="63">
        <f t="shared" si="43"/>
        <v>0</v>
      </c>
      <c r="AD77" s="62">
        <f t="shared" si="40"/>
        <v>0</v>
      </c>
      <c r="AE77" s="61">
        <f t="shared" si="40"/>
        <v>0</v>
      </c>
      <c r="AF77" s="47" t="str">
        <f t="shared" si="41"/>
        <v>Sub 7</v>
      </c>
      <c r="AG77" s="53"/>
      <c r="AH77" s="53"/>
      <c r="AI77" s="53"/>
      <c r="AJ77" s="53"/>
      <c r="AK77" s="53"/>
      <c r="AL77" s="53"/>
      <c r="AM77" s="53"/>
      <c r="AN77" s="53"/>
      <c r="AO77" s="53"/>
      <c r="AP77" s="53"/>
      <c r="AQ77" s="53"/>
      <c r="AR77" s="53"/>
      <c r="AS77" s="53"/>
      <c r="AT77" s="53"/>
      <c r="AU77" s="53"/>
      <c r="AV77" s="52"/>
      <c r="AW77" s="51"/>
      <c r="AZ77" s="46" t="str">
        <f t="shared" si="36"/>
        <v>0</v>
      </c>
      <c r="BA77" s="46" t="str">
        <f t="shared" si="37"/>
        <v>0</v>
      </c>
    </row>
    <row r="78" spans="5:53">
      <c r="O78" s="45"/>
      <c r="P78" s="45"/>
      <c r="R78" s="67" t="s">
        <v>248</v>
      </c>
      <c r="S78" s="66"/>
      <c r="T78" s="66"/>
      <c r="U78" s="45"/>
      <c r="V78" s="45"/>
      <c r="W78" s="45"/>
      <c r="X78" s="45"/>
      <c r="Y78" s="45"/>
      <c r="Z78" s="64">
        <f t="shared" si="38"/>
        <v>0</v>
      </c>
      <c r="AA78" s="65">
        <f t="shared" si="39"/>
        <v>0</v>
      </c>
      <c r="AB78" s="64">
        <f t="shared" si="42"/>
        <v>0</v>
      </c>
      <c r="AC78" s="63">
        <f t="shared" si="43"/>
        <v>0</v>
      </c>
      <c r="AD78" s="62">
        <f t="shared" si="40"/>
        <v>0</v>
      </c>
      <c r="AE78" s="61">
        <f t="shared" si="40"/>
        <v>0</v>
      </c>
      <c r="AF78" s="47" t="str">
        <f t="shared" si="41"/>
        <v>Sub 8</v>
      </c>
      <c r="AG78" s="53"/>
      <c r="AH78" s="53"/>
      <c r="AI78" s="53"/>
      <c r="AJ78" s="53"/>
      <c r="AK78" s="53"/>
      <c r="AL78" s="53"/>
      <c r="AM78" s="53"/>
      <c r="AN78" s="53"/>
      <c r="AO78" s="53"/>
      <c r="AP78" s="53"/>
      <c r="AQ78" s="53"/>
      <c r="AR78" s="53"/>
      <c r="AS78" s="53"/>
      <c r="AT78" s="53"/>
      <c r="AU78" s="53"/>
      <c r="AV78" s="52"/>
      <c r="AW78" s="51"/>
      <c r="AZ78" s="46" t="str">
        <f t="shared" si="36"/>
        <v>0</v>
      </c>
      <c r="BA78" s="46" t="str">
        <f t="shared" si="37"/>
        <v>0</v>
      </c>
    </row>
    <row r="79" spans="5:53">
      <c r="O79" s="45"/>
      <c r="P79" s="45"/>
      <c r="R79" s="67" t="s">
        <v>249</v>
      </c>
      <c r="S79" s="66"/>
      <c r="T79" s="66"/>
      <c r="U79" s="45"/>
      <c r="V79" s="45"/>
      <c r="W79" s="45"/>
      <c r="X79" s="45"/>
      <c r="Y79" s="45"/>
      <c r="Z79" s="64">
        <f t="shared" si="38"/>
        <v>0</v>
      </c>
      <c r="AA79" s="65">
        <f t="shared" si="39"/>
        <v>0</v>
      </c>
      <c r="AB79" s="64">
        <f t="shared" si="42"/>
        <v>0</v>
      </c>
      <c r="AC79" s="63">
        <f t="shared" si="43"/>
        <v>0</v>
      </c>
      <c r="AD79" s="62">
        <f t="shared" si="40"/>
        <v>0</v>
      </c>
      <c r="AE79" s="61">
        <f t="shared" si="40"/>
        <v>0</v>
      </c>
      <c r="AF79" s="47" t="str">
        <f t="shared" si="41"/>
        <v>Sub 9</v>
      </c>
      <c r="AG79" s="53"/>
      <c r="AH79" s="53"/>
      <c r="AI79" s="53"/>
      <c r="AJ79" s="53"/>
      <c r="AK79" s="53"/>
      <c r="AL79" s="53"/>
      <c r="AM79" s="53"/>
      <c r="AN79" s="53"/>
      <c r="AO79" s="53"/>
      <c r="AP79" s="53"/>
      <c r="AQ79" s="53"/>
      <c r="AR79" s="53"/>
      <c r="AS79" s="53"/>
      <c r="AT79" s="53"/>
      <c r="AU79" s="53"/>
      <c r="AV79" s="52"/>
      <c r="AW79" s="51"/>
      <c r="AZ79" s="46" t="str">
        <f t="shared" si="36"/>
        <v>0</v>
      </c>
      <c r="BA79" s="46" t="str">
        <f t="shared" si="37"/>
        <v>0</v>
      </c>
    </row>
    <row r="80" spans="5:53">
      <c r="O80" s="45"/>
      <c r="P80" s="45"/>
      <c r="R80" s="67" t="s">
        <v>250</v>
      </c>
      <c r="S80" s="66"/>
      <c r="T80" s="66"/>
      <c r="U80" s="45"/>
      <c r="V80" s="45"/>
      <c r="W80" s="45"/>
      <c r="X80" s="45"/>
      <c r="Y80" s="45"/>
      <c r="Z80" s="64">
        <f t="shared" si="38"/>
        <v>0</v>
      </c>
      <c r="AA80" s="65">
        <f t="shared" si="39"/>
        <v>0</v>
      </c>
      <c r="AB80" s="64">
        <f t="shared" si="42"/>
        <v>0</v>
      </c>
      <c r="AC80" s="63">
        <f t="shared" si="43"/>
        <v>0</v>
      </c>
      <c r="AD80" s="62">
        <f t="shared" si="40"/>
        <v>0</v>
      </c>
      <c r="AE80" s="61">
        <f t="shared" si="40"/>
        <v>0</v>
      </c>
      <c r="AF80" s="47" t="str">
        <f t="shared" si="41"/>
        <v>Sub 10</v>
      </c>
      <c r="AG80" s="53"/>
      <c r="AH80" s="53"/>
      <c r="AI80" s="53"/>
      <c r="AJ80" s="53"/>
      <c r="AK80" s="53"/>
      <c r="AL80" s="53"/>
      <c r="AM80" s="53"/>
      <c r="AN80" s="53"/>
      <c r="AO80" s="53"/>
      <c r="AP80" s="53"/>
      <c r="AQ80" s="53"/>
      <c r="AR80" s="53"/>
      <c r="AS80" s="53"/>
      <c r="AT80" s="53"/>
      <c r="AU80" s="53"/>
      <c r="AV80" s="52"/>
      <c r="AW80" s="51"/>
      <c r="AZ80" s="46" t="str">
        <f t="shared" si="36"/>
        <v>0</v>
      </c>
      <c r="BA80" s="46" t="str">
        <f t="shared" si="37"/>
        <v>0</v>
      </c>
    </row>
    <row r="81" spans="15:53" s="45" customFormat="1">
      <c r="Q81" s="47"/>
      <c r="R81" s="67" t="s">
        <v>251</v>
      </c>
      <c r="S81" s="66"/>
      <c r="T81" s="66"/>
      <c r="Z81" s="64">
        <f t="shared" si="38"/>
        <v>0</v>
      </c>
      <c r="AA81" s="65">
        <f t="shared" si="39"/>
        <v>0</v>
      </c>
      <c r="AB81" s="64">
        <f t="shared" si="42"/>
        <v>0</v>
      </c>
      <c r="AC81" s="63">
        <f t="shared" si="43"/>
        <v>0</v>
      </c>
      <c r="AD81" s="62">
        <f t="shared" si="40"/>
        <v>0</v>
      </c>
      <c r="AE81" s="61">
        <f t="shared" si="40"/>
        <v>0</v>
      </c>
      <c r="AF81" s="47" t="str">
        <f t="shared" si="41"/>
        <v>Sub 11</v>
      </c>
      <c r="AG81" s="53"/>
      <c r="AH81" s="53"/>
      <c r="AI81" s="53"/>
      <c r="AJ81" s="53"/>
      <c r="AK81" s="53"/>
      <c r="AL81" s="53"/>
      <c r="AM81" s="53"/>
      <c r="AN81" s="53"/>
      <c r="AO81" s="53"/>
      <c r="AP81" s="53"/>
      <c r="AQ81" s="53"/>
      <c r="AR81" s="53"/>
      <c r="AS81" s="53"/>
      <c r="AT81" s="53"/>
      <c r="AU81" s="53"/>
      <c r="AV81" s="52"/>
      <c r="AW81" s="51"/>
      <c r="AZ81" s="46" t="str">
        <f t="shared" si="36"/>
        <v>0</v>
      </c>
      <c r="BA81" s="46" t="str">
        <f t="shared" si="37"/>
        <v>0</v>
      </c>
    </row>
    <row r="82" spans="15:53" s="45" customFormat="1">
      <c r="Q82" s="47"/>
      <c r="R82" s="67" t="s">
        <v>252</v>
      </c>
      <c r="S82" s="66"/>
      <c r="T82" s="66"/>
      <c r="Z82" s="64">
        <f t="shared" si="38"/>
        <v>0</v>
      </c>
      <c r="AA82" s="65">
        <f t="shared" si="39"/>
        <v>0</v>
      </c>
      <c r="AB82" s="64">
        <f t="shared" si="42"/>
        <v>0</v>
      </c>
      <c r="AC82" s="63">
        <f t="shared" si="43"/>
        <v>0</v>
      </c>
      <c r="AD82" s="62">
        <f t="shared" si="40"/>
        <v>0</v>
      </c>
      <c r="AE82" s="61">
        <f t="shared" si="40"/>
        <v>0</v>
      </c>
      <c r="AF82" s="47" t="str">
        <f t="shared" si="41"/>
        <v>Sub 12</v>
      </c>
      <c r="AG82" s="53"/>
      <c r="AH82" s="53"/>
      <c r="AI82" s="53"/>
      <c r="AJ82" s="53"/>
      <c r="AK82" s="53"/>
      <c r="AL82" s="53"/>
      <c r="AM82" s="53"/>
      <c r="AN82" s="53"/>
      <c r="AO82" s="53"/>
      <c r="AP82" s="53"/>
      <c r="AQ82" s="53"/>
      <c r="AR82" s="53"/>
      <c r="AS82" s="53"/>
      <c r="AT82" s="53"/>
      <c r="AU82" s="53"/>
      <c r="AV82" s="52"/>
      <c r="AW82" s="51"/>
      <c r="AZ82" s="46" t="str">
        <f t="shared" si="36"/>
        <v>0</v>
      </c>
      <c r="BA82" s="46" t="str">
        <f t="shared" si="37"/>
        <v>0</v>
      </c>
    </row>
    <row r="83" spans="15:53" s="45" customFormat="1">
      <c r="Q83" s="47"/>
      <c r="R83" s="67" t="s">
        <v>253</v>
      </c>
      <c r="S83" s="66"/>
      <c r="T83" s="66"/>
      <c r="Z83" s="64">
        <f t="shared" si="38"/>
        <v>0</v>
      </c>
      <c r="AA83" s="65">
        <f t="shared" si="39"/>
        <v>0</v>
      </c>
      <c r="AB83" s="64">
        <f t="shared" si="42"/>
        <v>0</v>
      </c>
      <c r="AC83" s="63">
        <f t="shared" si="43"/>
        <v>0</v>
      </c>
      <c r="AD83" s="62">
        <f t="shared" si="40"/>
        <v>0</v>
      </c>
      <c r="AE83" s="61">
        <f t="shared" si="40"/>
        <v>0</v>
      </c>
      <c r="AF83" s="47" t="str">
        <f t="shared" si="41"/>
        <v>Sub 13</v>
      </c>
      <c r="AG83" s="53"/>
      <c r="AH83" s="53"/>
      <c r="AI83" s="53"/>
      <c r="AJ83" s="53"/>
      <c r="AK83" s="53"/>
      <c r="AL83" s="53"/>
      <c r="AM83" s="53"/>
      <c r="AN83" s="53"/>
      <c r="AO83" s="53"/>
      <c r="AP83" s="53"/>
      <c r="AQ83" s="53"/>
      <c r="AR83" s="53"/>
      <c r="AS83" s="53"/>
      <c r="AT83" s="53"/>
      <c r="AU83" s="53"/>
      <c r="AV83" s="52"/>
      <c r="AW83" s="51"/>
      <c r="AZ83" s="46" t="str">
        <f t="shared" si="36"/>
        <v>0</v>
      </c>
      <c r="BA83" s="46" t="str">
        <f t="shared" si="37"/>
        <v>0</v>
      </c>
    </row>
    <row r="84" spans="15:53" s="45" customFormat="1">
      <c r="Q84" s="47"/>
      <c r="R84" s="67" t="s">
        <v>254</v>
      </c>
      <c r="S84" s="66"/>
      <c r="T84" s="66"/>
      <c r="Z84" s="64">
        <f t="shared" si="38"/>
        <v>0</v>
      </c>
      <c r="AA84" s="65">
        <f t="shared" si="39"/>
        <v>0</v>
      </c>
      <c r="AB84" s="64">
        <f t="shared" si="42"/>
        <v>0</v>
      </c>
      <c r="AC84" s="63">
        <f t="shared" si="43"/>
        <v>0</v>
      </c>
      <c r="AD84" s="62">
        <f t="shared" si="40"/>
        <v>0</v>
      </c>
      <c r="AE84" s="61">
        <f t="shared" si="40"/>
        <v>0</v>
      </c>
      <c r="AF84" s="47" t="str">
        <f t="shared" si="41"/>
        <v>Sub 14</v>
      </c>
      <c r="AG84" s="53"/>
      <c r="AH84" s="53"/>
      <c r="AI84" s="53"/>
      <c r="AJ84" s="53"/>
      <c r="AK84" s="53"/>
      <c r="AL84" s="53"/>
      <c r="AM84" s="53"/>
      <c r="AN84" s="53"/>
      <c r="AO84" s="53"/>
      <c r="AP84" s="53"/>
      <c r="AQ84" s="53"/>
      <c r="AR84" s="53"/>
      <c r="AS84" s="53"/>
      <c r="AT84" s="53"/>
      <c r="AU84" s="53"/>
      <c r="AV84" s="52"/>
      <c r="AW84" s="51"/>
      <c r="AZ84" s="46" t="str">
        <f t="shared" si="36"/>
        <v>0</v>
      </c>
      <c r="BA84" s="46" t="str">
        <f t="shared" si="37"/>
        <v>0</v>
      </c>
    </row>
    <row r="85" spans="15:53" s="45" customFormat="1">
      <c r="Q85" s="47"/>
      <c r="R85" s="67" t="s">
        <v>255</v>
      </c>
      <c r="S85" s="66"/>
      <c r="T85" s="66"/>
      <c r="Z85" s="64">
        <f t="shared" si="38"/>
        <v>0</v>
      </c>
      <c r="AA85" s="65">
        <f t="shared" si="39"/>
        <v>0</v>
      </c>
      <c r="AB85" s="64">
        <f t="shared" si="42"/>
        <v>0</v>
      </c>
      <c r="AC85" s="63">
        <f t="shared" si="43"/>
        <v>0</v>
      </c>
      <c r="AD85" s="62">
        <f t="shared" si="40"/>
        <v>0</v>
      </c>
      <c r="AE85" s="61">
        <f t="shared" si="40"/>
        <v>0</v>
      </c>
      <c r="AF85" s="47" t="str">
        <f t="shared" si="41"/>
        <v>Sub 15</v>
      </c>
      <c r="AG85" s="53"/>
      <c r="AH85" s="53"/>
      <c r="AI85" s="53"/>
      <c r="AJ85" s="53"/>
      <c r="AK85" s="53"/>
      <c r="AL85" s="53"/>
      <c r="AM85" s="53"/>
      <c r="AN85" s="53"/>
      <c r="AO85" s="53"/>
      <c r="AP85" s="53"/>
      <c r="AQ85" s="53"/>
      <c r="AR85" s="53"/>
      <c r="AS85" s="53"/>
      <c r="AT85" s="53"/>
      <c r="AU85" s="53"/>
      <c r="AV85" s="52"/>
      <c r="AW85" s="51"/>
      <c r="AZ85" s="46" t="str">
        <f t="shared" si="36"/>
        <v>0</v>
      </c>
      <c r="BA85" s="46" t="str">
        <f t="shared" si="37"/>
        <v>0</v>
      </c>
    </row>
    <row r="86" spans="15:53" s="45" customFormat="1">
      <c r="Q86" s="47"/>
      <c r="R86" s="67" t="s">
        <v>256</v>
      </c>
      <c r="S86" s="66"/>
      <c r="T86" s="66"/>
      <c r="Z86" s="64">
        <f t="shared" si="38"/>
        <v>0</v>
      </c>
      <c r="AA86" s="65">
        <f t="shared" si="39"/>
        <v>0</v>
      </c>
      <c r="AB86" s="64">
        <f t="shared" si="42"/>
        <v>0</v>
      </c>
      <c r="AC86" s="63">
        <f t="shared" si="43"/>
        <v>0</v>
      </c>
      <c r="AD86" s="62">
        <f t="shared" si="40"/>
        <v>0</v>
      </c>
      <c r="AE86" s="61">
        <f t="shared" si="40"/>
        <v>0</v>
      </c>
      <c r="AF86" s="47" t="str">
        <f t="shared" si="41"/>
        <v>Sub 16</v>
      </c>
      <c r="AG86" s="53"/>
      <c r="AH86" s="53"/>
      <c r="AI86" s="53"/>
      <c r="AJ86" s="53"/>
      <c r="AK86" s="53"/>
      <c r="AL86" s="53"/>
      <c r="AM86" s="53"/>
      <c r="AN86" s="53"/>
      <c r="AO86" s="53"/>
      <c r="AP86" s="53"/>
      <c r="AQ86" s="53"/>
      <c r="AR86" s="53"/>
      <c r="AS86" s="53"/>
      <c r="AT86" s="53"/>
      <c r="AU86" s="53"/>
      <c r="AV86" s="52"/>
      <c r="AW86" s="51"/>
      <c r="AZ86" s="46" t="str">
        <f t="shared" si="36"/>
        <v>0</v>
      </c>
      <c r="BA86" s="46" t="str">
        <f t="shared" si="37"/>
        <v>0</v>
      </c>
    </row>
    <row r="87" spans="15:53" s="45" customFormat="1">
      <c r="Q87" s="47"/>
      <c r="R87" s="67" t="s">
        <v>257</v>
      </c>
      <c r="S87" s="66"/>
      <c r="T87" s="66"/>
      <c r="Z87" s="64">
        <f t="shared" si="38"/>
        <v>0</v>
      </c>
      <c r="AA87" s="65">
        <f t="shared" si="39"/>
        <v>0</v>
      </c>
      <c r="AB87" s="64">
        <f t="shared" si="42"/>
        <v>0</v>
      </c>
      <c r="AC87" s="63">
        <f t="shared" si="43"/>
        <v>0</v>
      </c>
      <c r="AD87" s="62">
        <f t="shared" si="40"/>
        <v>0</v>
      </c>
      <c r="AE87" s="61">
        <f t="shared" si="40"/>
        <v>0</v>
      </c>
      <c r="AF87" s="47" t="str">
        <f t="shared" si="41"/>
        <v>Sub 17</v>
      </c>
      <c r="AG87" s="53"/>
      <c r="AH87" s="53"/>
      <c r="AI87" s="53"/>
      <c r="AJ87" s="53"/>
      <c r="AK87" s="53"/>
      <c r="AL87" s="53"/>
      <c r="AM87" s="53"/>
      <c r="AN87" s="53"/>
      <c r="AO87" s="53"/>
      <c r="AP87" s="53"/>
      <c r="AQ87" s="53"/>
      <c r="AR87" s="53"/>
      <c r="AS87" s="53"/>
      <c r="AT87" s="53"/>
      <c r="AU87" s="53"/>
      <c r="AV87" s="52"/>
      <c r="AW87" s="51"/>
      <c r="AZ87" s="46" t="str">
        <f t="shared" si="36"/>
        <v>0</v>
      </c>
      <c r="BA87" s="46" t="str">
        <f t="shared" si="37"/>
        <v>0</v>
      </c>
    </row>
    <row r="88" spans="15:53" s="45" customFormat="1">
      <c r="Q88" s="47"/>
      <c r="R88" s="67" t="s">
        <v>258</v>
      </c>
      <c r="S88" s="66"/>
      <c r="T88" s="66"/>
      <c r="Z88" s="64">
        <f t="shared" si="38"/>
        <v>0</v>
      </c>
      <c r="AA88" s="65">
        <f t="shared" si="39"/>
        <v>0</v>
      </c>
      <c r="AB88" s="64">
        <f t="shared" si="42"/>
        <v>0</v>
      </c>
      <c r="AC88" s="63">
        <f t="shared" si="43"/>
        <v>0</v>
      </c>
      <c r="AD88" s="62">
        <f t="shared" si="40"/>
        <v>0</v>
      </c>
      <c r="AE88" s="61">
        <f t="shared" si="40"/>
        <v>0</v>
      </c>
      <c r="AF88" s="47" t="str">
        <f t="shared" si="41"/>
        <v>Sub 18</v>
      </c>
      <c r="AG88" s="53"/>
      <c r="AH88" s="53"/>
      <c r="AI88" s="53"/>
      <c r="AJ88" s="53"/>
      <c r="AK88" s="53"/>
      <c r="AL88" s="53"/>
      <c r="AM88" s="53"/>
      <c r="AN88" s="53"/>
      <c r="AO88" s="53"/>
      <c r="AP88" s="53"/>
      <c r="AQ88" s="53"/>
      <c r="AR88" s="53"/>
      <c r="AS88" s="53"/>
      <c r="AT88" s="53"/>
      <c r="AU88" s="53"/>
      <c r="AV88" s="52"/>
      <c r="AW88" s="51"/>
      <c r="AZ88" s="46" t="str">
        <f t="shared" si="36"/>
        <v>0</v>
      </c>
      <c r="BA88" s="46" t="str">
        <f t="shared" si="37"/>
        <v>0</v>
      </c>
    </row>
    <row r="89" spans="15:53" s="45" customFormat="1">
      <c r="Q89" s="47"/>
      <c r="R89" s="67" t="s">
        <v>259</v>
      </c>
      <c r="S89" s="66"/>
      <c r="T89" s="66"/>
      <c r="Z89" s="64">
        <f t="shared" si="38"/>
        <v>0</v>
      </c>
      <c r="AA89" s="65">
        <f t="shared" si="39"/>
        <v>0</v>
      </c>
      <c r="AB89" s="64">
        <f t="shared" si="42"/>
        <v>0</v>
      </c>
      <c r="AC89" s="63">
        <f t="shared" si="43"/>
        <v>0</v>
      </c>
      <c r="AD89" s="62">
        <f t="shared" si="40"/>
        <v>0</v>
      </c>
      <c r="AE89" s="61">
        <f t="shared" si="40"/>
        <v>0</v>
      </c>
      <c r="AF89" s="47" t="str">
        <f t="shared" si="41"/>
        <v>Sub 19</v>
      </c>
      <c r="AG89" s="53"/>
      <c r="AH89" s="53"/>
      <c r="AI89" s="53"/>
      <c r="AJ89" s="53"/>
      <c r="AK89" s="53"/>
      <c r="AL89" s="53"/>
      <c r="AM89" s="53"/>
      <c r="AN89" s="53"/>
      <c r="AO89" s="53"/>
      <c r="AP89" s="53"/>
      <c r="AQ89" s="53"/>
      <c r="AR89" s="53"/>
      <c r="AS89" s="53"/>
      <c r="AT89" s="53"/>
      <c r="AU89" s="53"/>
      <c r="AV89" s="52"/>
      <c r="AW89" s="51"/>
      <c r="AZ89" s="46" t="str">
        <f t="shared" si="36"/>
        <v>0</v>
      </c>
      <c r="BA89" s="46" t="str">
        <f t="shared" si="37"/>
        <v>0</v>
      </c>
    </row>
    <row r="90" spans="15:53" s="45" customFormat="1">
      <c r="Q90" s="47"/>
      <c r="R90" s="67" t="s">
        <v>260</v>
      </c>
      <c r="S90" s="66"/>
      <c r="T90" s="66"/>
      <c r="Z90" s="64">
        <f t="shared" si="38"/>
        <v>0</v>
      </c>
      <c r="AA90" s="65">
        <f t="shared" si="39"/>
        <v>0</v>
      </c>
      <c r="AB90" s="64">
        <f t="shared" si="42"/>
        <v>0</v>
      </c>
      <c r="AC90" s="63">
        <f t="shared" si="43"/>
        <v>0</v>
      </c>
      <c r="AD90" s="62">
        <f t="shared" si="40"/>
        <v>0</v>
      </c>
      <c r="AE90" s="61">
        <f t="shared" si="40"/>
        <v>0</v>
      </c>
      <c r="AF90" s="47" t="str">
        <f t="shared" si="41"/>
        <v>Sub 20</v>
      </c>
      <c r="AG90" s="53"/>
      <c r="AH90" s="53"/>
      <c r="AI90" s="53"/>
      <c r="AJ90" s="53"/>
      <c r="AK90" s="53"/>
      <c r="AL90" s="53"/>
      <c r="AM90" s="53"/>
      <c r="AN90" s="53"/>
      <c r="AO90" s="53"/>
      <c r="AP90" s="53"/>
      <c r="AQ90" s="53"/>
      <c r="AR90" s="53"/>
      <c r="AS90" s="53"/>
      <c r="AT90" s="53"/>
      <c r="AU90" s="53"/>
      <c r="AV90" s="52"/>
      <c r="AW90" s="51"/>
      <c r="AZ90" s="46" t="str">
        <f t="shared" si="36"/>
        <v>0</v>
      </c>
      <c r="BA90" s="46" t="str">
        <f t="shared" si="37"/>
        <v>0</v>
      </c>
    </row>
    <row r="91" spans="15:53" s="45" customFormat="1" ht="13.5" thickBot="1">
      <c r="O91" s="60"/>
      <c r="P91" s="60"/>
      <c r="Q91" s="47"/>
      <c r="R91" s="58" t="s">
        <v>97</v>
      </c>
      <c r="S91" s="60"/>
      <c r="T91" s="60"/>
      <c r="U91" s="60"/>
      <c r="V91" s="60"/>
      <c r="W91" s="60"/>
      <c r="X91" s="60"/>
      <c r="Y91" s="60"/>
      <c r="Z91" s="58"/>
      <c r="AA91" s="59"/>
      <c r="AB91" s="58"/>
      <c r="AC91" s="57"/>
      <c r="AD91" s="56">
        <f>SUM(AD70:AD90)</f>
        <v>30704</v>
      </c>
      <c r="AE91" s="55">
        <f ca="1">SUM(AE70:AE90)</f>
        <v>2646771.4400000004</v>
      </c>
      <c r="AF91" s="47"/>
      <c r="AG91" s="54"/>
      <c r="AH91" s="54"/>
      <c r="AI91" s="54"/>
      <c r="AJ91" s="54"/>
      <c r="AK91" s="54"/>
      <c r="AL91" s="54"/>
      <c r="AM91" s="54"/>
      <c r="AN91" s="54"/>
      <c r="AO91" s="54"/>
      <c r="AP91" s="54"/>
      <c r="AQ91" s="54"/>
      <c r="AR91" s="54"/>
      <c r="AS91" s="54"/>
      <c r="AT91" s="54"/>
      <c r="AU91" s="53"/>
      <c r="AV91" s="52"/>
      <c r="AW91" s="51"/>
      <c r="AZ91" s="46" t="str">
        <f t="shared" si="36"/>
        <v>1</v>
      </c>
      <c r="BA91" s="46" t="str">
        <f t="shared" ca="1" si="37"/>
        <v>1</v>
      </c>
    </row>
    <row r="92" spans="15:53" s="45" customFormat="1" ht="13.5" thickTop="1">
      <c r="O92" s="49"/>
      <c r="P92" s="49"/>
      <c r="Q92" s="47"/>
      <c r="R92" s="50"/>
      <c r="S92" s="49"/>
      <c r="T92" s="49"/>
      <c r="U92" s="49"/>
      <c r="V92" s="49"/>
      <c r="W92" s="49"/>
      <c r="X92" s="49"/>
      <c r="Y92" s="49"/>
      <c r="Z92" s="49"/>
      <c r="AA92" s="49"/>
      <c r="AB92" s="49"/>
      <c r="AC92" s="49"/>
      <c r="AD92" s="49"/>
      <c r="AE92" s="48"/>
      <c r="AF92" s="47"/>
      <c r="AG92" s="47"/>
      <c r="AH92" s="47"/>
      <c r="AI92" s="47"/>
      <c r="AJ92" s="47"/>
      <c r="AK92" s="47"/>
      <c r="AL92" s="47"/>
      <c r="AM92" s="47"/>
      <c r="AN92" s="47"/>
      <c r="AO92" s="47"/>
      <c r="AP92" s="47"/>
      <c r="AQ92" s="47"/>
      <c r="AR92" s="47"/>
      <c r="AS92" s="47"/>
      <c r="AT92" s="47"/>
      <c r="AV92" s="47"/>
      <c r="AZ92" s="46" t="str">
        <f t="shared" si="36"/>
        <v>1</v>
      </c>
      <c r="BA92" s="46" t="str">
        <f t="shared" si="37"/>
        <v>1</v>
      </c>
    </row>
  </sheetData>
  <autoFilter ref="AZ29:BA29"/>
  <mergeCells count="1">
    <mergeCell ref="F2:L2"/>
  </mergeCells>
  <conditionalFormatting sqref="R24:U24">
    <cfRule type="cellIs" dxfId="2" priority="1" stopIfTrue="1" operator="greaterThan">
      <formula>0</formula>
    </cfRule>
  </conditionalFormatting>
  <dataValidations count="2">
    <dataValidation type="list" allowBlank="1" showInputMessage="1" showErrorMessage="1" sqref="L32:L49 JH32:JH49 TD32:TD49 ACZ32:ACZ49 AMV32:AMV49 AWR32:AWR49 BGN32:BGN49 BQJ32:BQJ49 CAF32:CAF49 CKB32:CKB49 CTX32:CTX49 DDT32:DDT49 DNP32:DNP49 DXL32:DXL49 EHH32:EHH49 ERD32:ERD49 FAZ32:FAZ49 FKV32:FKV49 FUR32:FUR49 GEN32:GEN49 GOJ32:GOJ49 GYF32:GYF49 HIB32:HIB49 HRX32:HRX49 IBT32:IBT49 ILP32:ILP49 IVL32:IVL49 JFH32:JFH49 JPD32:JPD49 JYZ32:JYZ49 KIV32:KIV49 KSR32:KSR49 LCN32:LCN49 LMJ32:LMJ49 LWF32:LWF49 MGB32:MGB49 MPX32:MPX49 MZT32:MZT49 NJP32:NJP49 NTL32:NTL49 ODH32:ODH49 OND32:OND49 OWZ32:OWZ49 PGV32:PGV49 PQR32:PQR49 QAN32:QAN49 QKJ32:QKJ49 QUF32:QUF49 REB32:REB49 RNX32:RNX49 RXT32:RXT49 SHP32:SHP49 SRL32:SRL49 TBH32:TBH49 TLD32:TLD49 TUZ32:TUZ49 UEV32:UEV49 UOR32:UOR49 UYN32:UYN49 VIJ32:VIJ49 VSF32:VSF49 WCB32:WCB49 WLX32:WLX49 WVT32:WVT49 L65568:L65585 JH65568:JH65585 TD65568:TD65585 ACZ65568:ACZ65585 AMV65568:AMV65585 AWR65568:AWR65585 BGN65568:BGN65585 BQJ65568:BQJ65585 CAF65568:CAF65585 CKB65568:CKB65585 CTX65568:CTX65585 DDT65568:DDT65585 DNP65568:DNP65585 DXL65568:DXL65585 EHH65568:EHH65585 ERD65568:ERD65585 FAZ65568:FAZ65585 FKV65568:FKV65585 FUR65568:FUR65585 GEN65568:GEN65585 GOJ65568:GOJ65585 GYF65568:GYF65585 HIB65568:HIB65585 HRX65568:HRX65585 IBT65568:IBT65585 ILP65568:ILP65585 IVL65568:IVL65585 JFH65568:JFH65585 JPD65568:JPD65585 JYZ65568:JYZ65585 KIV65568:KIV65585 KSR65568:KSR65585 LCN65568:LCN65585 LMJ65568:LMJ65585 LWF65568:LWF65585 MGB65568:MGB65585 MPX65568:MPX65585 MZT65568:MZT65585 NJP65568:NJP65585 NTL65568:NTL65585 ODH65568:ODH65585 OND65568:OND65585 OWZ65568:OWZ65585 PGV65568:PGV65585 PQR65568:PQR65585 QAN65568:QAN65585 QKJ65568:QKJ65585 QUF65568:QUF65585 REB65568:REB65585 RNX65568:RNX65585 RXT65568:RXT65585 SHP65568:SHP65585 SRL65568:SRL65585 TBH65568:TBH65585 TLD65568:TLD65585 TUZ65568:TUZ65585 UEV65568:UEV65585 UOR65568:UOR65585 UYN65568:UYN65585 VIJ65568:VIJ65585 VSF65568:VSF65585 WCB65568:WCB65585 WLX65568:WLX65585 WVT65568:WVT65585 L131104:L131121 JH131104:JH131121 TD131104:TD131121 ACZ131104:ACZ131121 AMV131104:AMV131121 AWR131104:AWR131121 BGN131104:BGN131121 BQJ131104:BQJ131121 CAF131104:CAF131121 CKB131104:CKB131121 CTX131104:CTX131121 DDT131104:DDT131121 DNP131104:DNP131121 DXL131104:DXL131121 EHH131104:EHH131121 ERD131104:ERD131121 FAZ131104:FAZ131121 FKV131104:FKV131121 FUR131104:FUR131121 GEN131104:GEN131121 GOJ131104:GOJ131121 GYF131104:GYF131121 HIB131104:HIB131121 HRX131104:HRX131121 IBT131104:IBT131121 ILP131104:ILP131121 IVL131104:IVL131121 JFH131104:JFH131121 JPD131104:JPD131121 JYZ131104:JYZ131121 KIV131104:KIV131121 KSR131104:KSR131121 LCN131104:LCN131121 LMJ131104:LMJ131121 LWF131104:LWF131121 MGB131104:MGB131121 MPX131104:MPX131121 MZT131104:MZT131121 NJP131104:NJP131121 NTL131104:NTL131121 ODH131104:ODH131121 OND131104:OND131121 OWZ131104:OWZ131121 PGV131104:PGV131121 PQR131104:PQR131121 QAN131104:QAN131121 QKJ131104:QKJ131121 QUF131104:QUF131121 REB131104:REB131121 RNX131104:RNX131121 RXT131104:RXT131121 SHP131104:SHP131121 SRL131104:SRL131121 TBH131104:TBH131121 TLD131104:TLD131121 TUZ131104:TUZ131121 UEV131104:UEV131121 UOR131104:UOR131121 UYN131104:UYN131121 VIJ131104:VIJ131121 VSF131104:VSF131121 WCB131104:WCB131121 WLX131104:WLX131121 WVT131104:WVT131121 L196640:L196657 JH196640:JH196657 TD196640:TD196657 ACZ196640:ACZ196657 AMV196640:AMV196657 AWR196640:AWR196657 BGN196640:BGN196657 BQJ196640:BQJ196657 CAF196640:CAF196657 CKB196640:CKB196657 CTX196640:CTX196657 DDT196640:DDT196657 DNP196640:DNP196657 DXL196640:DXL196657 EHH196640:EHH196657 ERD196640:ERD196657 FAZ196640:FAZ196657 FKV196640:FKV196657 FUR196640:FUR196657 GEN196640:GEN196657 GOJ196640:GOJ196657 GYF196640:GYF196657 HIB196640:HIB196657 HRX196640:HRX196657 IBT196640:IBT196657 ILP196640:ILP196657 IVL196640:IVL196657 JFH196640:JFH196657 JPD196640:JPD196657 JYZ196640:JYZ196657 KIV196640:KIV196657 KSR196640:KSR196657 LCN196640:LCN196657 LMJ196640:LMJ196657 LWF196640:LWF196657 MGB196640:MGB196657 MPX196640:MPX196657 MZT196640:MZT196657 NJP196640:NJP196657 NTL196640:NTL196657 ODH196640:ODH196657 OND196640:OND196657 OWZ196640:OWZ196657 PGV196640:PGV196657 PQR196640:PQR196657 QAN196640:QAN196657 QKJ196640:QKJ196657 QUF196640:QUF196657 REB196640:REB196657 RNX196640:RNX196657 RXT196640:RXT196657 SHP196640:SHP196657 SRL196640:SRL196657 TBH196640:TBH196657 TLD196640:TLD196657 TUZ196640:TUZ196657 UEV196640:UEV196657 UOR196640:UOR196657 UYN196640:UYN196657 VIJ196640:VIJ196657 VSF196640:VSF196657 WCB196640:WCB196657 WLX196640:WLX196657 WVT196640:WVT196657 L262176:L262193 JH262176:JH262193 TD262176:TD262193 ACZ262176:ACZ262193 AMV262176:AMV262193 AWR262176:AWR262193 BGN262176:BGN262193 BQJ262176:BQJ262193 CAF262176:CAF262193 CKB262176:CKB262193 CTX262176:CTX262193 DDT262176:DDT262193 DNP262176:DNP262193 DXL262176:DXL262193 EHH262176:EHH262193 ERD262176:ERD262193 FAZ262176:FAZ262193 FKV262176:FKV262193 FUR262176:FUR262193 GEN262176:GEN262193 GOJ262176:GOJ262193 GYF262176:GYF262193 HIB262176:HIB262193 HRX262176:HRX262193 IBT262176:IBT262193 ILP262176:ILP262193 IVL262176:IVL262193 JFH262176:JFH262193 JPD262176:JPD262193 JYZ262176:JYZ262193 KIV262176:KIV262193 KSR262176:KSR262193 LCN262176:LCN262193 LMJ262176:LMJ262193 LWF262176:LWF262193 MGB262176:MGB262193 MPX262176:MPX262193 MZT262176:MZT262193 NJP262176:NJP262193 NTL262176:NTL262193 ODH262176:ODH262193 OND262176:OND262193 OWZ262176:OWZ262193 PGV262176:PGV262193 PQR262176:PQR262193 QAN262176:QAN262193 QKJ262176:QKJ262193 QUF262176:QUF262193 REB262176:REB262193 RNX262176:RNX262193 RXT262176:RXT262193 SHP262176:SHP262193 SRL262176:SRL262193 TBH262176:TBH262193 TLD262176:TLD262193 TUZ262176:TUZ262193 UEV262176:UEV262193 UOR262176:UOR262193 UYN262176:UYN262193 VIJ262176:VIJ262193 VSF262176:VSF262193 WCB262176:WCB262193 WLX262176:WLX262193 WVT262176:WVT262193 L327712:L327729 JH327712:JH327729 TD327712:TD327729 ACZ327712:ACZ327729 AMV327712:AMV327729 AWR327712:AWR327729 BGN327712:BGN327729 BQJ327712:BQJ327729 CAF327712:CAF327729 CKB327712:CKB327729 CTX327712:CTX327729 DDT327712:DDT327729 DNP327712:DNP327729 DXL327712:DXL327729 EHH327712:EHH327729 ERD327712:ERD327729 FAZ327712:FAZ327729 FKV327712:FKV327729 FUR327712:FUR327729 GEN327712:GEN327729 GOJ327712:GOJ327729 GYF327712:GYF327729 HIB327712:HIB327729 HRX327712:HRX327729 IBT327712:IBT327729 ILP327712:ILP327729 IVL327712:IVL327729 JFH327712:JFH327729 JPD327712:JPD327729 JYZ327712:JYZ327729 KIV327712:KIV327729 KSR327712:KSR327729 LCN327712:LCN327729 LMJ327712:LMJ327729 LWF327712:LWF327729 MGB327712:MGB327729 MPX327712:MPX327729 MZT327712:MZT327729 NJP327712:NJP327729 NTL327712:NTL327729 ODH327712:ODH327729 OND327712:OND327729 OWZ327712:OWZ327729 PGV327712:PGV327729 PQR327712:PQR327729 QAN327712:QAN327729 QKJ327712:QKJ327729 QUF327712:QUF327729 REB327712:REB327729 RNX327712:RNX327729 RXT327712:RXT327729 SHP327712:SHP327729 SRL327712:SRL327729 TBH327712:TBH327729 TLD327712:TLD327729 TUZ327712:TUZ327729 UEV327712:UEV327729 UOR327712:UOR327729 UYN327712:UYN327729 VIJ327712:VIJ327729 VSF327712:VSF327729 WCB327712:WCB327729 WLX327712:WLX327729 WVT327712:WVT327729 L393248:L393265 JH393248:JH393265 TD393248:TD393265 ACZ393248:ACZ393265 AMV393248:AMV393265 AWR393248:AWR393265 BGN393248:BGN393265 BQJ393248:BQJ393265 CAF393248:CAF393265 CKB393248:CKB393265 CTX393248:CTX393265 DDT393248:DDT393265 DNP393248:DNP393265 DXL393248:DXL393265 EHH393248:EHH393265 ERD393248:ERD393265 FAZ393248:FAZ393265 FKV393248:FKV393265 FUR393248:FUR393265 GEN393248:GEN393265 GOJ393248:GOJ393265 GYF393248:GYF393265 HIB393248:HIB393265 HRX393248:HRX393265 IBT393248:IBT393265 ILP393248:ILP393265 IVL393248:IVL393265 JFH393248:JFH393265 JPD393248:JPD393265 JYZ393248:JYZ393265 KIV393248:KIV393265 KSR393248:KSR393265 LCN393248:LCN393265 LMJ393248:LMJ393265 LWF393248:LWF393265 MGB393248:MGB393265 MPX393248:MPX393265 MZT393248:MZT393265 NJP393248:NJP393265 NTL393248:NTL393265 ODH393248:ODH393265 OND393248:OND393265 OWZ393248:OWZ393265 PGV393248:PGV393265 PQR393248:PQR393265 QAN393248:QAN393265 QKJ393248:QKJ393265 QUF393248:QUF393265 REB393248:REB393265 RNX393248:RNX393265 RXT393248:RXT393265 SHP393248:SHP393265 SRL393248:SRL393265 TBH393248:TBH393265 TLD393248:TLD393265 TUZ393248:TUZ393265 UEV393248:UEV393265 UOR393248:UOR393265 UYN393248:UYN393265 VIJ393248:VIJ393265 VSF393248:VSF393265 WCB393248:WCB393265 WLX393248:WLX393265 WVT393248:WVT393265 L458784:L458801 JH458784:JH458801 TD458784:TD458801 ACZ458784:ACZ458801 AMV458784:AMV458801 AWR458784:AWR458801 BGN458784:BGN458801 BQJ458784:BQJ458801 CAF458784:CAF458801 CKB458784:CKB458801 CTX458784:CTX458801 DDT458784:DDT458801 DNP458784:DNP458801 DXL458784:DXL458801 EHH458784:EHH458801 ERD458784:ERD458801 FAZ458784:FAZ458801 FKV458784:FKV458801 FUR458784:FUR458801 GEN458784:GEN458801 GOJ458784:GOJ458801 GYF458784:GYF458801 HIB458784:HIB458801 HRX458784:HRX458801 IBT458784:IBT458801 ILP458784:ILP458801 IVL458784:IVL458801 JFH458784:JFH458801 JPD458784:JPD458801 JYZ458784:JYZ458801 KIV458784:KIV458801 KSR458784:KSR458801 LCN458784:LCN458801 LMJ458784:LMJ458801 LWF458784:LWF458801 MGB458784:MGB458801 MPX458784:MPX458801 MZT458784:MZT458801 NJP458784:NJP458801 NTL458784:NTL458801 ODH458784:ODH458801 OND458784:OND458801 OWZ458784:OWZ458801 PGV458784:PGV458801 PQR458784:PQR458801 QAN458784:QAN458801 QKJ458784:QKJ458801 QUF458784:QUF458801 REB458784:REB458801 RNX458784:RNX458801 RXT458784:RXT458801 SHP458784:SHP458801 SRL458784:SRL458801 TBH458784:TBH458801 TLD458784:TLD458801 TUZ458784:TUZ458801 UEV458784:UEV458801 UOR458784:UOR458801 UYN458784:UYN458801 VIJ458784:VIJ458801 VSF458784:VSF458801 WCB458784:WCB458801 WLX458784:WLX458801 WVT458784:WVT458801 L524320:L524337 JH524320:JH524337 TD524320:TD524337 ACZ524320:ACZ524337 AMV524320:AMV524337 AWR524320:AWR524337 BGN524320:BGN524337 BQJ524320:BQJ524337 CAF524320:CAF524337 CKB524320:CKB524337 CTX524320:CTX524337 DDT524320:DDT524337 DNP524320:DNP524337 DXL524320:DXL524337 EHH524320:EHH524337 ERD524320:ERD524337 FAZ524320:FAZ524337 FKV524320:FKV524337 FUR524320:FUR524337 GEN524320:GEN524337 GOJ524320:GOJ524337 GYF524320:GYF524337 HIB524320:HIB524337 HRX524320:HRX524337 IBT524320:IBT524337 ILP524320:ILP524337 IVL524320:IVL524337 JFH524320:JFH524337 JPD524320:JPD524337 JYZ524320:JYZ524337 KIV524320:KIV524337 KSR524320:KSR524337 LCN524320:LCN524337 LMJ524320:LMJ524337 LWF524320:LWF524337 MGB524320:MGB524337 MPX524320:MPX524337 MZT524320:MZT524337 NJP524320:NJP524337 NTL524320:NTL524337 ODH524320:ODH524337 OND524320:OND524337 OWZ524320:OWZ524337 PGV524320:PGV524337 PQR524320:PQR524337 QAN524320:QAN524337 QKJ524320:QKJ524337 QUF524320:QUF524337 REB524320:REB524337 RNX524320:RNX524337 RXT524320:RXT524337 SHP524320:SHP524337 SRL524320:SRL524337 TBH524320:TBH524337 TLD524320:TLD524337 TUZ524320:TUZ524337 UEV524320:UEV524337 UOR524320:UOR524337 UYN524320:UYN524337 VIJ524320:VIJ524337 VSF524320:VSF524337 WCB524320:WCB524337 WLX524320:WLX524337 WVT524320:WVT524337 L589856:L589873 JH589856:JH589873 TD589856:TD589873 ACZ589856:ACZ589873 AMV589856:AMV589873 AWR589856:AWR589873 BGN589856:BGN589873 BQJ589856:BQJ589873 CAF589856:CAF589873 CKB589856:CKB589873 CTX589856:CTX589873 DDT589856:DDT589873 DNP589856:DNP589873 DXL589856:DXL589873 EHH589856:EHH589873 ERD589856:ERD589873 FAZ589856:FAZ589873 FKV589856:FKV589873 FUR589856:FUR589873 GEN589856:GEN589873 GOJ589856:GOJ589873 GYF589856:GYF589873 HIB589856:HIB589873 HRX589856:HRX589873 IBT589856:IBT589873 ILP589856:ILP589873 IVL589856:IVL589873 JFH589856:JFH589873 JPD589856:JPD589873 JYZ589856:JYZ589873 KIV589856:KIV589873 KSR589856:KSR589873 LCN589856:LCN589873 LMJ589856:LMJ589873 LWF589856:LWF589873 MGB589856:MGB589873 MPX589856:MPX589873 MZT589856:MZT589873 NJP589856:NJP589873 NTL589856:NTL589873 ODH589856:ODH589873 OND589856:OND589873 OWZ589856:OWZ589873 PGV589856:PGV589873 PQR589856:PQR589873 QAN589856:QAN589873 QKJ589856:QKJ589873 QUF589856:QUF589873 REB589856:REB589873 RNX589856:RNX589873 RXT589856:RXT589873 SHP589856:SHP589873 SRL589856:SRL589873 TBH589856:TBH589873 TLD589856:TLD589873 TUZ589856:TUZ589873 UEV589856:UEV589873 UOR589856:UOR589873 UYN589856:UYN589873 VIJ589856:VIJ589873 VSF589856:VSF589873 WCB589856:WCB589873 WLX589856:WLX589873 WVT589856:WVT589873 L655392:L655409 JH655392:JH655409 TD655392:TD655409 ACZ655392:ACZ655409 AMV655392:AMV655409 AWR655392:AWR655409 BGN655392:BGN655409 BQJ655392:BQJ655409 CAF655392:CAF655409 CKB655392:CKB655409 CTX655392:CTX655409 DDT655392:DDT655409 DNP655392:DNP655409 DXL655392:DXL655409 EHH655392:EHH655409 ERD655392:ERD655409 FAZ655392:FAZ655409 FKV655392:FKV655409 FUR655392:FUR655409 GEN655392:GEN655409 GOJ655392:GOJ655409 GYF655392:GYF655409 HIB655392:HIB655409 HRX655392:HRX655409 IBT655392:IBT655409 ILP655392:ILP655409 IVL655392:IVL655409 JFH655392:JFH655409 JPD655392:JPD655409 JYZ655392:JYZ655409 KIV655392:KIV655409 KSR655392:KSR655409 LCN655392:LCN655409 LMJ655392:LMJ655409 LWF655392:LWF655409 MGB655392:MGB655409 MPX655392:MPX655409 MZT655392:MZT655409 NJP655392:NJP655409 NTL655392:NTL655409 ODH655392:ODH655409 OND655392:OND655409 OWZ655392:OWZ655409 PGV655392:PGV655409 PQR655392:PQR655409 QAN655392:QAN655409 QKJ655392:QKJ655409 QUF655392:QUF655409 REB655392:REB655409 RNX655392:RNX655409 RXT655392:RXT655409 SHP655392:SHP655409 SRL655392:SRL655409 TBH655392:TBH655409 TLD655392:TLD655409 TUZ655392:TUZ655409 UEV655392:UEV655409 UOR655392:UOR655409 UYN655392:UYN655409 VIJ655392:VIJ655409 VSF655392:VSF655409 WCB655392:WCB655409 WLX655392:WLX655409 WVT655392:WVT655409 L720928:L720945 JH720928:JH720945 TD720928:TD720945 ACZ720928:ACZ720945 AMV720928:AMV720945 AWR720928:AWR720945 BGN720928:BGN720945 BQJ720928:BQJ720945 CAF720928:CAF720945 CKB720928:CKB720945 CTX720928:CTX720945 DDT720928:DDT720945 DNP720928:DNP720945 DXL720928:DXL720945 EHH720928:EHH720945 ERD720928:ERD720945 FAZ720928:FAZ720945 FKV720928:FKV720945 FUR720928:FUR720945 GEN720928:GEN720945 GOJ720928:GOJ720945 GYF720928:GYF720945 HIB720928:HIB720945 HRX720928:HRX720945 IBT720928:IBT720945 ILP720928:ILP720945 IVL720928:IVL720945 JFH720928:JFH720945 JPD720928:JPD720945 JYZ720928:JYZ720945 KIV720928:KIV720945 KSR720928:KSR720945 LCN720928:LCN720945 LMJ720928:LMJ720945 LWF720928:LWF720945 MGB720928:MGB720945 MPX720928:MPX720945 MZT720928:MZT720945 NJP720928:NJP720945 NTL720928:NTL720945 ODH720928:ODH720945 OND720928:OND720945 OWZ720928:OWZ720945 PGV720928:PGV720945 PQR720928:PQR720945 QAN720928:QAN720945 QKJ720928:QKJ720945 QUF720928:QUF720945 REB720928:REB720945 RNX720928:RNX720945 RXT720928:RXT720945 SHP720928:SHP720945 SRL720928:SRL720945 TBH720928:TBH720945 TLD720928:TLD720945 TUZ720928:TUZ720945 UEV720928:UEV720945 UOR720928:UOR720945 UYN720928:UYN720945 VIJ720928:VIJ720945 VSF720928:VSF720945 WCB720928:WCB720945 WLX720928:WLX720945 WVT720928:WVT720945 L786464:L786481 JH786464:JH786481 TD786464:TD786481 ACZ786464:ACZ786481 AMV786464:AMV786481 AWR786464:AWR786481 BGN786464:BGN786481 BQJ786464:BQJ786481 CAF786464:CAF786481 CKB786464:CKB786481 CTX786464:CTX786481 DDT786464:DDT786481 DNP786464:DNP786481 DXL786464:DXL786481 EHH786464:EHH786481 ERD786464:ERD786481 FAZ786464:FAZ786481 FKV786464:FKV786481 FUR786464:FUR786481 GEN786464:GEN786481 GOJ786464:GOJ786481 GYF786464:GYF786481 HIB786464:HIB786481 HRX786464:HRX786481 IBT786464:IBT786481 ILP786464:ILP786481 IVL786464:IVL786481 JFH786464:JFH786481 JPD786464:JPD786481 JYZ786464:JYZ786481 KIV786464:KIV786481 KSR786464:KSR786481 LCN786464:LCN786481 LMJ786464:LMJ786481 LWF786464:LWF786481 MGB786464:MGB786481 MPX786464:MPX786481 MZT786464:MZT786481 NJP786464:NJP786481 NTL786464:NTL786481 ODH786464:ODH786481 OND786464:OND786481 OWZ786464:OWZ786481 PGV786464:PGV786481 PQR786464:PQR786481 QAN786464:QAN786481 QKJ786464:QKJ786481 QUF786464:QUF786481 REB786464:REB786481 RNX786464:RNX786481 RXT786464:RXT786481 SHP786464:SHP786481 SRL786464:SRL786481 TBH786464:TBH786481 TLD786464:TLD786481 TUZ786464:TUZ786481 UEV786464:UEV786481 UOR786464:UOR786481 UYN786464:UYN786481 VIJ786464:VIJ786481 VSF786464:VSF786481 WCB786464:WCB786481 WLX786464:WLX786481 WVT786464:WVT786481 L852000:L852017 JH852000:JH852017 TD852000:TD852017 ACZ852000:ACZ852017 AMV852000:AMV852017 AWR852000:AWR852017 BGN852000:BGN852017 BQJ852000:BQJ852017 CAF852000:CAF852017 CKB852000:CKB852017 CTX852000:CTX852017 DDT852000:DDT852017 DNP852000:DNP852017 DXL852000:DXL852017 EHH852000:EHH852017 ERD852000:ERD852017 FAZ852000:FAZ852017 FKV852000:FKV852017 FUR852000:FUR852017 GEN852000:GEN852017 GOJ852000:GOJ852017 GYF852000:GYF852017 HIB852000:HIB852017 HRX852000:HRX852017 IBT852000:IBT852017 ILP852000:ILP852017 IVL852000:IVL852017 JFH852000:JFH852017 JPD852000:JPD852017 JYZ852000:JYZ852017 KIV852000:KIV852017 KSR852000:KSR852017 LCN852000:LCN852017 LMJ852000:LMJ852017 LWF852000:LWF852017 MGB852000:MGB852017 MPX852000:MPX852017 MZT852000:MZT852017 NJP852000:NJP852017 NTL852000:NTL852017 ODH852000:ODH852017 OND852000:OND852017 OWZ852000:OWZ852017 PGV852000:PGV852017 PQR852000:PQR852017 QAN852000:QAN852017 QKJ852000:QKJ852017 QUF852000:QUF852017 REB852000:REB852017 RNX852000:RNX852017 RXT852000:RXT852017 SHP852000:SHP852017 SRL852000:SRL852017 TBH852000:TBH852017 TLD852000:TLD852017 TUZ852000:TUZ852017 UEV852000:UEV852017 UOR852000:UOR852017 UYN852000:UYN852017 VIJ852000:VIJ852017 VSF852000:VSF852017 WCB852000:WCB852017 WLX852000:WLX852017 WVT852000:WVT852017 L917536:L917553 JH917536:JH917553 TD917536:TD917553 ACZ917536:ACZ917553 AMV917536:AMV917553 AWR917536:AWR917553 BGN917536:BGN917553 BQJ917536:BQJ917553 CAF917536:CAF917553 CKB917536:CKB917553 CTX917536:CTX917553 DDT917536:DDT917553 DNP917536:DNP917553 DXL917536:DXL917553 EHH917536:EHH917553 ERD917536:ERD917553 FAZ917536:FAZ917553 FKV917536:FKV917553 FUR917536:FUR917553 GEN917536:GEN917553 GOJ917536:GOJ917553 GYF917536:GYF917553 HIB917536:HIB917553 HRX917536:HRX917553 IBT917536:IBT917553 ILP917536:ILP917553 IVL917536:IVL917553 JFH917536:JFH917553 JPD917536:JPD917553 JYZ917536:JYZ917553 KIV917536:KIV917553 KSR917536:KSR917553 LCN917536:LCN917553 LMJ917536:LMJ917553 LWF917536:LWF917553 MGB917536:MGB917553 MPX917536:MPX917553 MZT917536:MZT917553 NJP917536:NJP917553 NTL917536:NTL917553 ODH917536:ODH917553 OND917536:OND917553 OWZ917536:OWZ917553 PGV917536:PGV917553 PQR917536:PQR917553 QAN917536:QAN917553 QKJ917536:QKJ917553 QUF917536:QUF917553 REB917536:REB917553 RNX917536:RNX917553 RXT917536:RXT917553 SHP917536:SHP917553 SRL917536:SRL917553 TBH917536:TBH917553 TLD917536:TLD917553 TUZ917536:TUZ917553 UEV917536:UEV917553 UOR917536:UOR917553 UYN917536:UYN917553 VIJ917536:VIJ917553 VSF917536:VSF917553 WCB917536:WCB917553 WLX917536:WLX917553 WVT917536:WVT917553 L983072:L983089 JH983072:JH983089 TD983072:TD983089 ACZ983072:ACZ983089 AMV983072:AMV983089 AWR983072:AWR983089 BGN983072:BGN983089 BQJ983072:BQJ983089 CAF983072:CAF983089 CKB983072:CKB983089 CTX983072:CTX983089 DDT983072:DDT983089 DNP983072:DNP983089 DXL983072:DXL983089 EHH983072:EHH983089 ERD983072:ERD983089 FAZ983072:FAZ983089 FKV983072:FKV983089 FUR983072:FUR983089 GEN983072:GEN983089 GOJ983072:GOJ983089 GYF983072:GYF983089 HIB983072:HIB983089 HRX983072:HRX983089 IBT983072:IBT983089 ILP983072:ILP983089 IVL983072:IVL983089 JFH983072:JFH983089 JPD983072:JPD983089 JYZ983072:JYZ983089 KIV983072:KIV983089 KSR983072:KSR983089 LCN983072:LCN983089 LMJ983072:LMJ983089 LWF983072:LWF983089 MGB983072:MGB983089 MPX983072:MPX983089 MZT983072:MZT983089 NJP983072:NJP983089 NTL983072:NTL983089 ODH983072:ODH983089 OND983072:OND983089 OWZ983072:OWZ983089 PGV983072:PGV983089 PQR983072:PQR983089 QAN983072:QAN983089 QKJ983072:QKJ983089 QUF983072:QUF983089 REB983072:REB983089 RNX983072:RNX983089 RXT983072:RXT983089 SHP983072:SHP983089 SRL983072:SRL983089 TBH983072:TBH983089 TLD983072:TLD983089 TUZ983072:TUZ983089 UEV983072:UEV983089 UOR983072:UOR983089 UYN983072:UYN983089 VIJ983072:VIJ983089 VSF983072:VSF983089 WCB983072:WCB983089 WLX983072:WLX983089 WVT983072:WVT983089">
      <formula1>$L$9:$L$25</formula1>
    </dataValidation>
    <dataValidation type="list" allowBlank="1" showInputMessage="1" showErrorMessage="1" sqref="G32:G49 JC32:JC49 SY32:SY49 ACU32:ACU49 AMQ32:AMQ49 AWM32:AWM49 BGI32:BGI49 BQE32:BQE49 CAA32:CAA49 CJW32:CJW49 CTS32:CTS49 DDO32:DDO49 DNK32:DNK49 DXG32:DXG49 EHC32:EHC49 EQY32:EQY49 FAU32:FAU49 FKQ32:FKQ49 FUM32:FUM49 GEI32:GEI49 GOE32:GOE49 GYA32:GYA49 HHW32:HHW49 HRS32:HRS49 IBO32:IBO49 ILK32:ILK49 IVG32:IVG49 JFC32:JFC49 JOY32:JOY49 JYU32:JYU49 KIQ32:KIQ49 KSM32:KSM49 LCI32:LCI49 LME32:LME49 LWA32:LWA49 MFW32:MFW49 MPS32:MPS49 MZO32:MZO49 NJK32:NJK49 NTG32:NTG49 ODC32:ODC49 OMY32:OMY49 OWU32:OWU49 PGQ32:PGQ49 PQM32:PQM49 QAI32:QAI49 QKE32:QKE49 QUA32:QUA49 RDW32:RDW49 RNS32:RNS49 RXO32:RXO49 SHK32:SHK49 SRG32:SRG49 TBC32:TBC49 TKY32:TKY49 TUU32:TUU49 UEQ32:UEQ49 UOM32:UOM49 UYI32:UYI49 VIE32:VIE49 VSA32:VSA49 WBW32:WBW49 WLS32:WLS49 WVO32:WVO49 G65568:G65585 JC65568:JC65585 SY65568:SY65585 ACU65568:ACU65585 AMQ65568:AMQ65585 AWM65568:AWM65585 BGI65568:BGI65585 BQE65568:BQE65585 CAA65568:CAA65585 CJW65568:CJW65585 CTS65568:CTS65585 DDO65568:DDO65585 DNK65568:DNK65585 DXG65568:DXG65585 EHC65568:EHC65585 EQY65568:EQY65585 FAU65568:FAU65585 FKQ65568:FKQ65585 FUM65568:FUM65585 GEI65568:GEI65585 GOE65568:GOE65585 GYA65568:GYA65585 HHW65568:HHW65585 HRS65568:HRS65585 IBO65568:IBO65585 ILK65568:ILK65585 IVG65568:IVG65585 JFC65568:JFC65585 JOY65568:JOY65585 JYU65568:JYU65585 KIQ65568:KIQ65585 KSM65568:KSM65585 LCI65568:LCI65585 LME65568:LME65585 LWA65568:LWA65585 MFW65568:MFW65585 MPS65568:MPS65585 MZO65568:MZO65585 NJK65568:NJK65585 NTG65568:NTG65585 ODC65568:ODC65585 OMY65568:OMY65585 OWU65568:OWU65585 PGQ65568:PGQ65585 PQM65568:PQM65585 QAI65568:QAI65585 QKE65568:QKE65585 QUA65568:QUA65585 RDW65568:RDW65585 RNS65568:RNS65585 RXO65568:RXO65585 SHK65568:SHK65585 SRG65568:SRG65585 TBC65568:TBC65585 TKY65568:TKY65585 TUU65568:TUU65585 UEQ65568:UEQ65585 UOM65568:UOM65585 UYI65568:UYI65585 VIE65568:VIE65585 VSA65568:VSA65585 WBW65568:WBW65585 WLS65568:WLS65585 WVO65568:WVO65585 G131104:G131121 JC131104:JC131121 SY131104:SY131121 ACU131104:ACU131121 AMQ131104:AMQ131121 AWM131104:AWM131121 BGI131104:BGI131121 BQE131104:BQE131121 CAA131104:CAA131121 CJW131104:CJW131121 CTS131104:CTS131121 DDO131104:DDO131121 DNK131104:DNK131121 DXG131104:DXG131121 EHC131104:EHC131121 EQY131104:EQY131121 FAU131104:FAU131121 FKQ131104:FKQ131121 FUM131104:FUM131121 GEI131104:GEI131121 GOE131104:GOE131121 GYA131104:GYA131121 HHW131104:HHW131121 HRS131104:HRS131121 IBO131104:IBO131121 ILK131104:ILK131121 IVG131104:IVG131121 JFC131104:JFC131121 JOY131104:JOY131121 JYU131104:JYU131121 KIQ131104:KIQ131121 KSM131104:KSM131121 LCI131104:LCI131121 LME131104:LME131121 LWA131104:LWA131121 MFW131104:MFW131121 MPS131104:MPS131121 MZO131104:MZO131121 NJK131104:NJK131121 NTG131104:NTG131121 ODC131104:ODC131121 OMY131104:OMY131121 OWU131104:OWU131121 PGQ131104:PGQ131121 PQM131104:PQM131121 QAI131104:QAI131121 QKE131104:QKE131121 QUA131104:QUA131121 RDW131104:RDW131121 RNS131104:RNS131121 RXO131104:RXO131121 SHK131104:SHK131121 SRG131104:SRG131121 TBC131104:TBC131121 TKY131104:TKY131121 TUU131104:TUU131121 UEQ131104:UEQ131121 UOM131104:UOM131121 UYI131104:UYI131121 VIE131104:VIE131121 VSA131104:VSA131121 WBW131104:WBW131121 WLS131104:WLS131121 WVO131104:WVO131121 G196640:G196657 JC196640:JC196657 SY196640:SY196657 ACU196640:ACU196657 AMQ196640:AMQ196657 AWM196640:AWM196657 BGI196640:BGI196657 BQE196640:BQE196657 CAA196640:CAA196657 CJW196640:CJW196657 CTS196640:CTS196657 DDO196640:DDO196657 DNK196640:DNK196657 DXG196640:DXG196657 EHC196640:EHC196657 EQY196640:EQY196657 FAU196640:FAU196657 FKQ196640:FKQ196657 FUM196640:FUM196657 GEI196640:GEI196657 GOE196640:GOE196657 GYA196640:GYA196657 HHW196640:HHW196657 HRS196640:HRS196657 IBO196640:IBO196657 ILK196640:ILK196657 IVG196640:IVG196657 JFC196640:JFC196657 JOY196640:JOY196657 JYU196640:JYU196657 KIQ196640:KIQ196657 KSM196640:KSM196657 LCI196640:LCI196657 LME196640:LME196657 LWA196640:LWA196657 MFW196640:MFW196657 MPS196640:MPS196657 MZO196640:MZO196657 NJK196640:NJK196657 NTG196640:NTG196657 ODC196640:ODC196657 OMY196640:OMY196657 OWU196640:OWU196657 PGQ196640:PGQ196657 PQM196640:PQM196657 QAI196640:QAI196657 QKE196640:QKE196657 QUA196640:QUA196657 RDW196640:RDW196657 RNS196640:RNS196657 RXO196640:RXO196657 SHK196640:SHK196657 SRG196640:SRG196657 TBC196640:TBC196657 TKY196640:TKY196657 TUU196640:TUU196657 UEQ196640:UEQ196657 UOM196640:UOM196657 UYI196640:UYI196657 VIE196640:VIE196657 VSA196640:VSA196657 WBW196640:WBW196657 WLS196640:WLS196657 WVO196640:WVO196657 G262176:G262193 JC262176:JC262193 SY262176:SY262193 ACU262176:ACU262193 AMQ262176:AMQ262193 AWM262176:AWM262193 BGI262176:BGI262193 BQE262176:BQE262193 CAA262176:CAA262193 CJW262176:CJW262193 CTS262176:CTS262193 DDO262176:DDO262193 DNK262176:DNK262193 DXG262176:DXG262193 EHC262176:EHC262193 EQY262176:EQY262193 FAU262176:FAU262193 FKQ262176:FKQ262193 FUM262176:FUM262193 GEI262176:GEI262193 GOE262176:GOE262193 GYA262176:GYA262193 HHW262176:HHW262193 HRS262176:HRS262193 IBO262176:IBO262193 ILK262176:ILK262193 IVG262176:IVG262193 JFC262176:JFC262193 JOY262176:JOY262193 JYU262176:JYU262193 KIQ262176:KIQ262193 KSM262176:KSM262193 LCI262176:LCI262193 LME262176:LME262193 LWA262176:LWA262193 MFW262176:MFW262193 MPS262176:MPS262193 MZO262176:MZO262193 NJK262176:NJK262193 NTG262176:NTG262193 ODC262176:ODC262193 OMY262176:OMY262193 OWU262176:OWU262193 PGQ262176:PGQ262193 PQM262176:PQM262193 QAI262176:QAI262193 QKE262176:QKE262193 QUA262176:QUA262193 RDW262176:RDW262193 RNS262176:RNS262193 RXO262176:RXO262193 SHK262176:SHK262193 SRG262176:SRG262193 TBC262176:TBC262193 TKY262176:TKY262193 TUU262176:TUU262193 UEQ262176:UEQ262193 UOM262176:UOM262193 UYI262176:UYI262193 VIE262176:VIE262193 VSA262176:VSA262193 WBW262176:WBW262193 WLS262176:WLS262193 WVO262176:WVO262193 G327712:G327729 JC327712:JC327729 SY327712:SY327729 ACU327712:ACU327729 AMQ327712:AMQ327729 AWM327712:AWM327729 BGI327712:BGI327729 BQE327712:BQE327729 CAA327712:CAA327729 CJW327712:CJW327729 CTS327712:CTS327729 DDO327712:DDO327729 DNK327712:DNK327729 DXG327712:DXG327729 EHC327712:EHC327729 EQY327712:EQY327729 FAU327712:FAU327729 FKQ327712:FKQ327729 FUM327712:FUM327729 GEI327712:GEI327729 GOE327712:GOE327729 GYA327712:GYA327729 HHW327712:HHW327729 HRS327712:HRS327729 IBO327712:IBO327729 ILK327712:ILK327729 IVG327712:IVG327729 JFC327712:JFC327729 JOY327712:JOY327729 JYU327712:JYU327729 KIQ327712:KIQ327729 KSM327712:KSM327729 LCI327712:LCI327729 LME327712:LME327729 LWA327712:LWA327729 MFW327712:MFW327729 MPS327712:MPS327729 MZO327712:MZO327729 NJK327712:NJK327729 NTG327712:NTG327729 ODC327712:ODC327729 OMY327712:OMY327729 OWU327712:OWU327729 PGQ327712:PGQ327729 PQM327712:PQM327729 QAI327712:QAI327729 QKE327712:QKE327729 QUA327712:QUA327729 RDW327712:RDW327729 RNS327712:RNS327729 RXO327712:RXO327729 SHK327712:SHK327729 SRG327712:SRG327729 TBC327712:TBC327729 TKY327712:TKY327729 TUU327712:TUU327729 UEQ327712:UEQ327729 UOM327712:UOM327729 UYI327712:UYI327729 VIE327712:VIE327729 VSA327712:VSA327729 WBW327712:WBW327729 WLS327712:WLS327729 WVO327712:WVO327729 G393248:G393265 JC393248:JC393265 SY393248:SY393265 ACU393248:ACU393265 AMQ393248:AMQ393265 AWM393248:AWM393265 BGI393248:BGI393265 BQE393248:BQE393265 CAA393248:CAA393265 CJW393248:CJW393265 CTS393248:CTS393265 DDO393248:DDO393265 DNK393248:DNK393265 DXG393248:DXG393265 EHC393248:EHC393265 EQY393248:EQY393265 FAU393248:FAU393265 FKQ393248:FKQ393265 FUM393248:FUM393265 GEI393248:GEI393265 GOE393248:GOE393265 GYA393248:GYA393265 HHW393248:HHW393265 HRS393248:HRS393265 IBO393248:IBO393265 ILK393248:ILK393265 IVG393248:IVG393265 JFC393248:JFC393265 JOY393248:JOY393265 JYU393248:JYU393265 KIQ393248:KIQ393265 KSM393248:KSM393265 LCI393248:LCI393265 LME393248:LME393265 LWA393248:LWA393265 MFW393248:MFW393265 MPS393248:MPS393265 MZO393248:MZO393265 NJK393248:NJK393265 NTG393248:NTG393265 ODC393248:ODC393265 OMY393248:OMY393265 OWU393248:OWU393265 PGQ393248:PGQ393265 PQM393248:PQM393265 QAI393248:QAI393265 QKE393248:QKE393265 QUA393248:QUA393265 RDW393248:RDW393265 RNS393248:RNS393265 RXO393248:RXO393265 SHK393248:SHK393265 SRG393248:SRG393265 TBC393248:TBC393265 TKY393248:TKY393265 TUU393248:TUU393265 UEQ393248:UEQ393265 UOM393248:UOM393265 UYI393248:UYI393265 VIE393248:VIE393265 VSA393248:VSA393265 WBW393248:WBW393265 WLS393248:WLS393265 WVO393248:WVO393265 G458784:G458801 JC458784:JC458801 SY458784:SY458801 ACU458784:ACU458801 AMQ458784:AMQ458801 AWM458784:AWM458801 BGI458784:BGI458801 BQE458784:BQE458801 CAA458784:CAA458801 CJW458784:CJW458801 CTS458784:CTS458801 DDO458784:DDO458801 DNK458784:DNK458801 DXG458784:DXG458801 EHC458784:EHC458801 EQY458784:EQY458801 FAU458784:FAU458801 FKQ458784:FKQ458801 FUM458784:FUM458801 GEI458784:GEI458801 GOE458784:GOE458801 GYA458784:GYA458801 HHW458784:HHW458801 HRS458784:HRS458801 IBO458784:IBO458801 ILK458784:ILK458801 IVG458784:IVG458801 JFC458784:JFC458801 JOY458784:JOY458801 JYU458784:JYU458801 KIQ458784:KIQ458801 KSM458784:KSM458801 LCI458784:LCI458801 LME458784:LME458801 LWA458784:LWA458801 MFW458784:MFW458801 MPS458784:MPS458801 MZO458784:MZO458801 NJK458784:NJK458801 NTG458784:NTG458801 ODC458784:ODC458801 OMY458784:OMY458801 OWU458784:OWU458801 PGQ458784:PGQ458801 PQM458784:PQM458801 QAI458784:QAI458801 QKE458784:QKE458801 QUA458784:QUA458801 RDW458784:RDW458801 RNS458784:RNS458801 RXO458784:RXO458801 SHK458784:SHK458801 SRG458784:SRG458801 TBC458784:TBC458801 TKY458784:TKY458801 TUU458784:TUU458801 UEQ458784:UEQ458801 UOM458784:UOM458801 UYI458784:UYI458801 VIE458784:VIE458801 VSA458784:VSA458801 WBW458784:WBW458801 WLS458784:WLS458801 WVO458784:WVO458801 G524320:G524337 JC524320:JC524337 SY524320:SY524337 ACU524320:ACU524337 AMQ524320:AMQ524337 AWM524320:AWM524337 BGI524320:BGI524337 BQE524320:BQE524337 CAA524320:CAA524337 CJW524320:CJW524337 CTS524320:CTS524337 DDO524320:DDO524337 DNK524320:DNK524337 DXG524320:DXG524337 EHC524320:EHC524337 EQY524320:EQY524337 FAU524320:FAU524337 FKQ524320:FKQ524337 FUM524320:FUM524337 GEI524320:GEI524337 GOE524320:GOE524337 GYA524320:GYA524337 HHW524320:HHW524337 HRS524320:HRS524337 IBO524320:IBO524337 ILK524320:ILK524337 IVG524320:IVG524337 JFC524320:JFC524337 JOY524320:JOY524337 JYU524320:JYU524337 KIQ524320:KIQ524337 KSM524320:KSM524337 LCI524320:LCI524337 LME524320:LME524337 LWA524320:LWA524337 MFW524320:MFW524337 MPS524320:MPS524337 MZO524320:MZO524337 NJK524320:NJK524337 NTG524320:NTG524337 ODC524320:ODC524337 OMY524320:OMY524337 OWU524320:OWU524337 PGQ524320:PGQ524337 PQM524320:PQM524337 QAI524320:QAI524337 QKE524320:QKE524337 QUA524320:QUA524337 RDW524320:RDW524337 RNS524320:RNS524337 RXO524320:RXO524337 SHK524320:SHK524337 SRG524320:SRG524337 TBC524320:TBC524337 TKY524320:TKY524337 TUU524320:TUU524337 UEQ524320:UEQ524337 UOM524320:UOM524337 UYI524320:UYI524337 VIE524320:VIE524337 VSA524320:VSA524337 WBW524320:WBW524337 WLS524320:WLS524337 WVO524320:WVO524337 G589856:G589873 JC589856:JC589873 SY589856:SY589873 ACU589856:ACU589873 AMQ589856:AMQ589873 AWM589856:AWM589873 BGI589856:BGI589873 BQE589856:BQE589873 CAA589856:CAA589873 CJW589856:CJW589873 CTS589856:CTS589873 DDO589856:DDO589873 DNK589856:DNK589873 DXG589856:DXG589873 EHC589856:EHC589873 EQY589856:EQY589873 FAU589856:FAU589873 FKQ589856:FKQ589873 FUM589856:FUM589873 GEI589856:GEI589873 GOE589856:GOE589873 GYA589856:GYA589873 HHW589856:HHW589873 HRS589856:HRS589873 IBO589856:IBO589873 ILK589856:ILK589873 IVG589856:IVG589873 JFC589856:JFC589873 JOY589856:JOY589873 JYU589856:JYU589873 KIQ589856:KIQ589873 KSM589856:KSM589873 LCI589856:LCI589873 LME589856:LME589873 LWA589856:LWA589873 MFW589856:MFW589873 MPS589856:MPS589873 MZO589856:MZO589873 NJK589856:NJK589873 NTG589856:NTG589873 ODC589856:ODC589873 OMY589856:OMY589873 OWU589856:OWU589873 PGQ589856:PGQ589873 PQM589856:PQM589873 QAI589856:QAI589873 QKE589856:QKE589873 QUA589856:QUA589873 RDW589856:RDW589873 RNS589856:RNS589873 RXO589856:RXO589873 SHK589856:SHK589873 SRG589856:SRG589873 TBC589856:TBC589873 TKY589856:TKY589873 TUU589856:TUU589873 UEQ589856:UEQ589873 UOM589856:UOM589873 UYI589856:UYI589873 VIE589856:VIE589873 VSA589856:VSA589873 WBW589856:WBW589873 WLS589856:WLS589873 WVO589856:WVO589873 G655392:G655409 JC655392:JC655409 SY655392:SY655409 ACU655392:ACU655409 AMQ655392:AMQ655409 AWM655392:AWM655409 BGI655392:BGI655409 BQE655392:BQE655409 CAA655392:CAA655409 CJW655392:CJW655409 CTS655392:CTS655409 DDO655392:DDO655409 DNK655392:DNK655409 DXG655392:DXG655409 EHC655392:EHC655409 EQY655392:EQY655409 FAU655392:FAU655409 FKQ655392:FKQ655409 FUM655392:FUM655409 GEI655392:GEI655409 GOE655392:GOE655409 GYA655392:GYA655409 HHW655392:HHW655409 HRS655392:HRS655409 IBO655392:IBO655409 ILK655392:ILK655409 IVG655392:IVG655409 JFC655392:JFC655409 JOY655392:JOY655409 JYU655392:JYU655409 KIQ655392:KIQ655409 KSM655392:KSM655409 LCI655392:LCI655409 LME655392:LME655409 LWA655392:LWA655409 MFW655392:MFW655409 MPS655392:MPS655409 MZO655392:MZO655409 NJK655392:NJK655409 NTG655392:NTG655409 ODC655392:ODC655409 OMY655392:OMY655409 OWU655392:OWU655409 PGQ655392:PGQ655409 PQM655392:PQM655409 QAI655392:QAI655409 QKE655392:QKE655409 QUA655392:QUA655409 RDW655392:RDW655409 RNS655392:RNS655409 RXO655392:RXO655409 SHK655392:SHK655409 SRG655392:SRG655409 TBC655392:TBC655409 TKY655392:TKY655409 TUU655392:TUU655409 UEQ655392:UEQ655409 UOM655392:UOM655409 UYI655392:UYI655409 VIE655392:VIE655409 VSA655392:VSA655409 WBW655392:WBW655409 WLS655392:WLS655409 WVO655392:WVO655409 G720928:G720945 JC720928:JC720945 SY720928:SY720945 ACU720928:ACU720945 AMQ720928:AMQ720945 AWM720928:AWM720945 BGI720928:BGI720945 BQE720928:BQE720945 CAA720928:CAA720945 CJW720928:CJW720945 CTS720928:CTS720945 DDO720928:DDO720945 DNK720928:DNK720945 DXG720928:DXG720945 EHC720928:EHC720945 EQY720928:EQY720945 FAU720928:FAU720945 FKQ720928:FKQ720945 FUM720928:FUM720945 GEI720928:GEI720945 GOE720928:GOE720945 GYA720928:GYA720945 HHW720928:HHW720945 HRS720928:HRS720945 IBO720928:IBO720945 ILK720928:ILK720945 IVG720928:IVG720945 JFC720928:JFC720945 JOY720928:JOY720945 JYU720928:JYU720945 KIQ720928:KIQ720945 KSM720928:KSM720945 LCI720928:LCI720945 LME720928:LME720945 LWA720928:LWA720945 MFW720928:MFW720945 MPS720928:MPS720945 MZO720928:MZO720945 NJK720928:NJK720945 NTG720928:NTG720945 ODC720928:ODC720945 OMY720928:OMY720945 OWU720928:OWU720945 PGQ720928:PGQ720945 PQM720928:PQM720945 QAI720928:QAI720945 QKE720928:QKE720945 QUA720928:QUA720945 RDW720928:RDW720945 RNS720928:RNS720945 RXO720928:RXO720945 SHK720928:SHK720945 SRG720928:SRG720945 TBC720928:TBC720945 TKY720928:TKY720945 TUU720928:TUU720945 UEQ720928:UEQ720945 UOM720928:UOM720945 UYI720928:UYI720945 VIE720928:VIE720945 VSA720928:VSA720945 WBW720928:WBW720945 WLS720928:WLS720945 WVO720928:WVO720945 G786464:G786481 JC786464:JC786481 SY786464:SY786481 ACU786464:ACU786481 AMQ786464:AMQ786481 AWM786464:AWM786481 BGI786464:BGI786481 BQE786464:BQE786481 CAA786464:CAA786481 CJW786464:CJW786481 CTS786464:CTS786481 DDO786464:DDO786481 DNK786464:DNK786481 DXG786464:DXG786481 EHC786464:EHC786481 EQY786464:EQY786481 FAU786464:FAU786481 FKQ786464:FKQ786481 FUM786464:FUM786481 GEI786464:GEI786481 GOE786464:GOE786481 GYA786464:GYA786481 HHW786464:HHW786481 HRS786464:HRS786481 IBO786464:IBO786481 ILK786464:ILK786481 IVG786464:IVG786481 JFC786464:JFC786481 JOY786464:JOY786481 JYU786464:JYU786481 KIQ786464:KIQ786481 KSM786464:KSM786481 LCI786464:LCI786481 LME786464:LME786481 LWA786464:LWA786481 MFW786464:MFW786481 MPS786464:MPS786481 MZO786464:MZO786481 NJK786464:NJK786481 NTG786464:NTG786481 ODC786464:ODC786481 OMY786464:OMY786481 OWU786464:OWU786481 PGQ786464:PGQ786481 PQM786464:PQM786481 QAI786464:QAI786481 QKE786464:QKE786481 QUA786464:QUA786481 RDW786464:RDW786481 RNS786464:RNS786481 RXO786464:RXO786481 SHK786464:SHK786481 SRG786464:SRG786481 TBC786464:TBC786481 TKY786464:TKY786481 TUU786464:TUU786481 UEQ786464:UEQ786481 UOM786464:UOM786481 UYI786464:UYI786481 VIE786464:VIE786481 VSA786464:VSA786481 WBW786464:WBW786481 WLS786464:WLS786481 WVO786464:WVO786481 G852000:G852017 JC852000:JC852017 SY852000:SY852017 ACU852000:ACU852017 AMQ852000:AMQ852017 AWM852000:AWM852017 BGI852000:BGI852017 BQE852000:BQE852017 CAA852000:CAA852017 CJW852000:CJW852017 CTS852000:CTS852017 DDO852000:DDO852017 DNK852000:DNK852017 DXG852000:DXG852017 EHC852000:EHC852017 EQY852000:EQY852017 FAU852000:FAU852017 FKQ852000:FKQ852017 FUM852000:FUM852017 GEI852000:GEI852017 GOE852000:GOE852017 GYA852000:GYA852017 HHW852000:HHW852017 HRS852000:HRS852017 IBO852000:IBO852017 ILK852000:ILK852017 IVG852000:IVG852017 JFC852000:JFC852017 JOY852000:JOY852017 JYU852000:JYU852017 KIQ852000:KIQ852017 KSM852000:KSM852017 LCI852000:LCI852017 LME852000:LME852017 LWA852000:LWA852017 MFW852000:MFW852017 MPS852000:MPS852017 MZO852000:MZO852017 NJK852000:NJK852017 NTG852000:NTG852017 ODC852000:ODC852017 OMY852000:OMY852017 OWU852000:OWU852017 PGQ852000:PGQ852017 PQM852000:PQM852017 QAI852000:QAI852017 QKE852000:QKE852017 QUA852000:QUA852017 RDW852000:RDW852017 RNS852000:RNS852017 RXO852000:RXO852017 SHK852000:SHK852017 SRG852000:SRG852017 TBC852000:TBC852017 TKY852000:TKY852017 TUU852000:TUU852017 UEQ852000:UEQ852017 UOM852000:UOM852017 UYI852000:UYI852017 VIE852000:VIE852017 VSA852000:VSA852017 WBW852000:WBW852017 WLS852000:WLS852017 WVO852000:WVO852017 G917536:G917553 JC917536:JC917553 SY917536:SY917553 ACU917536:ACU917553 AMQ917536:AMQ917553 AWM917536:AWM917553 BGI917536:BGI917553 BQE917536:BQE917553 CAA917536:CAA917553 CJW917536:CJW917553 CTS917536:CTS917553 DDO917536:DDO917553 DNK917536:DNK917553 DXG917536:DXG917553 EHC917536:EHC917553 EQY917536:EQY917553 FAU917536:FAU917553 FKQ917536:FKQ917553 FUM917536:FUM917553 GEI917536:GEI917553 GOE917536:GOE917553 GYA917536:GYA917553 HHW917536:HHW917553 HRS917536:HRS917553 IBO917536:IBO917553 ILK917536:ILK917553 IVG917536:IVG917553 JFC917536:JFC917553 JOY917536:JOY917553 JYU917536:JYU917553 KIQ917536:KIQ917553 KSM917536:KSM917553 LCI917536:LCI917553 LME917536:LME917553 LWA917536:LWA917553 MFW917536:MFW917553 MPS917536:MPS917553 MZO917536:MZO917553 NJK917536:NJK917553 NTG917536:NTG917553 ODC917536:ODC917553 OMY917536:OMY917553 OWU917536:OWU917553 PGQ917536:PGQ917553 PQM917536:PQM917553 QAI917536:QAI917553 QKE917536:QKE917553 QUA917536:QUA917553 RDW917536:RDW917553 RNS917536:RNS917553 RXO917536:RXO917553 SHK917536:SHK917553 SRG917536:SRG917553 TBC917536:TBC917553 TKY917536:TKY917553 TUU917536:TUU917553 UEQ917536:UEQ917553 UOM917536:UOM917553 UYI917536:UYI917553 VIE917536:VIE917553 VSA917536:VSA917553 WBW917536:WBW917553 WLS917536:WLS917553 WVO917536:WVO917553 G983072:G983089 JC983072:JC983089 SY983072:SY983089 ACU983072:ACU983089 AMQ983072:AMQ983089 AWM983072:AWM983089 BGI983072:BGI983089 BQE983072:BQE983089 CAA983072:CAA983089 CJW983072:CJW983089 CTS983072:CTS983089 DDO983072:DDO983089 DNK983072:DNK983089 DXG983072:DXG983089 EHC983072:EHC983089 EQY983072:EQY983089 FAU983072:FAU983089 FKQ983072:FKQ983089 FUM983072:FUM983089 GEI983072:GEI983089 GOE983072:GOE983089 GYA983072:GYA983089 HHW983072:HHW983089 HRS983072:HRS983089 IBO983072:IBO983089 ILK983072:ILK983089 IVG983072:IVG983089 JFC983072:JFC983089 JOY983072:JOY983089 JYU983072:JYU983089 KIQ983072:KIQ983089 KSM983072:KSM983089 LCI983072:LCI983089 LME983072:LME983089 LWA983072:LWA983089 MFW983072:MFW983089 MPS983072:MPS983089 MZO983072:MZO983089 NJK983072:NJK983089 NTG983072:NTG983089 ODC983072:ODC983089 OMY983072:OMY983089 OWU983072:OWU983089 PGQ983072:PGQ983089 PQM983072:PQM983089 QAI983072:QAI983089 QKE983072:QKE983089 QUA983072:QUA983089 RDW983072:RDW983089 RNS983072:RNS983089 RXO983072:RXO983089 SHK983072:SHK983089 SRG983072:SRG983089 TBC983072:TBC983089 TKY983072:TKY983089 TUU983072:TUU983089 UEQ983072:UEQ983089 UOM983072:UOM983089 UYI983072:UYI983089 VIE983072:VIE983089 VSA983072:VSA983089 WBW983072:WBW983089 WLS983072:WLS983089 WVO983072:WVO983089">
      <formula1>$R$70:$R$90</formula1>
    </dataValidation>
  </dataValidations>
  <printOptions horizontalCentered="1"/>
  <pageMargins left="1" right="1" top="0.5" bottom="0.5" header="0.5" footer="0.5"/>
  <pageSetup scale="37" fitToHeight="1000" orientation="landscape" r:id="rId1"/>
  <headerFooter alignWithMargins="0"/>
  <rowBreaks count="1" manualBreakCount="1">
    <brk id="67" min="3" max="25" man="1"/>
  </rowBreaks>
  <legacyDrawing r:id="rId2"/>
</worksheet>
</file>

<file path=xl/worksheets/sheet5.xml><?xml version="1.0" encoding="utf-8"?>
<worksheet xmlns="http://schemas.openxmlformats.org/spreadsheetml/2006/main" xmlns:r="http://schemas.openxmlformats.org/officeDocument/2006/relationships">
  <sheetPr>
    <tabColor indexed="57"/>
    <pageSetUpPr fitToPage="1"/>
  </sheetPr>
  <dimension ref="A1:BA91"/>
  <sheetViews>
    <sheetView showGridLines="0" view="pageBreakPreview" topLeftCell="D1" zoomScale="85" zoomScaleNormal="70" zoomScaleSheetLayoutView="85" workbookViewId="0">
      <selection activeCell="I47" sqref="I47"/>
    </sheetView>
  </sheetViews>
  <sheetFormatPr defaultRowHeight="12.75" outlineLevelRow="1" outlineLevelCol="1"/>
  <cols>
    <col min="1" max="1" width="9.5703125" style="45" bestFit="1" customWidth="1"/>
    <col min="2" max="2" width="9.5703125" style="45" customWidth="1"/>
    <col min="3" max="3" width="9.140625" style="45"/>
    <col min="4" max="4" width="3.85546875" style="45" customWidth="1"/>
    <col min="5" max="5" width="17.7109375" style="47" customWidth="1"/>
    <col min="6" max="7" width="10.5703125" style="47" customWidth="1"/>
    <col min="8" max="8" width="3" style="47" customWidth="1"/>
    <col min="9" max="9" width="11.28515625" style="47" bestFit="1" customWidth="1"/>
    <col min="10" max="10" width="16.5703125" style="47" hidden="1" customWidth="1" outlineLevel="1"/>
    <col min="11" max="11" width="20.42578125" style="47" hidden="1" customWidth="1" outlineLevel="1"/>
    <col min="12" max="12" width="14" style="47" bestFit="1" customWidth="1" collapsed="1"/>
    <col min="13" max="13" width="14.7109375" style="47" bestFit="1" customWidth="1"/>
    <col min="14" max="14" width="12" style="47" customWidth="1"/>
    <col min="15" max="15" width="11.140625" style="47" customWidth="1" outlineLevel="1"/>
    <col min="16" max="16" width="9.85546875" style="47" customWidth="1" outlineLevel="1"/>
    <col min="17" max="17" width="9.85546875" style="47" bestFit="1" customWidth="1"/>
    <col min="18" max="18" width="16.7109375" style="47" customWidth="1"/>
    <col min="19" max="19" width="20.140625" style="47" bestFit="1" customWidth="1"/>
    <col min="20" max="20" width="10.5703125" style="47" bestFit="1" customWidth="1"/>
    <col min="21" max="23" width="12.42578125" style="47" bestFit="1" customWidth="1" outlineLevel="1"/>
    <col min="24" max="25" width="8.42578125" style="47" bestFit="1" customWidth="1" outlineLevel="1"/>
    <col min="26" max="26" width="10.5703125" style="47" customWidth="1"/>
    <col min="27" max="27" width="8.85546875" style="47" bestFit="1" customWidth="1"/>
    <col min="28" max="28" width="11.140625" style="47" customWidth="1"/>
    <col min="29" max="29" width="20.28515625" style="47" bestFit="1" customWidth="1"/>
    <col min="30" max="30" width="10.42578125" style="47" customWidth="1"/>
    <col min="31" max="31" width="13.28515625" style="47" customWidth="1"/>
    <col min="32" max="32" width="12.42578125" style="47" customWidth="1" outlineLevel="1"/>
    <col min="33" max="35" width="10.7109375" style="47" customWidth="1" outlineLevel="1"/>
    <col min="36" max="36" width="9.85546875" style="47" customWidth="1" outlineLevel="1"/>
    <col min="37" max="42" width="11.140625" style="47" customWidth="1" outlineLevel="1"/>
    <col min="43" max="43" width="11.28515625" style="47" customWidth="1" outlineLevel="1"/>
    <col min="44" max="44" width="10.28515625" style="47" customWidth="1" outlineLevel="1"/>
    <col min="45" max="45" width="11.140625" style="47" customWidth="1" outlineLevel="1"/>
    <col min="46" max="46" width="10.7109375" style="47" customWidth="1" outlineLevel="1"/>
    <col min="47" max="47" width="3.5703125" style="45" customWidth="1" outlineLevel="1"/>
    <col min="48" max="48" width="13.7109375" style="47" customWidth="1" outlineLevel="1"/>
    <col min="49" max="49" width="13.7109375" style="45" customWidth="1"/>
    <col min="50" max="51" width="9.140625" style="45" customWidth="1"/>
    <col min="52" max="53" width="19.85546875" style="46" bestFit="1" customWidth="1"/>
    <col min="54" max="16384" width="9.140625" style="45"/>
  </cols>
  <sheetData>
    <row r="1" spans="1:53">
      <c r="E1" s="239" t="s">
        <v>185</v>
      </c>
      <c r="F1" s="236" t="s">
        <v>229</v>
      </c>
      <c r="G1" s="235"/>
      <c r="H1" s="235"/>
      <c r="I1" s="235"/>
      <c r="J1" s="238"/>
      <c r="K1" s="238"/>
      <c r="L1" s="235"/>
      <c r="M1" s="237" t="s">
        <v>184</v>
      </c>
      <c r="N1" s="236" t="s">
        <v>226</v>
      </c>
      <c r="O1" s="235"/>
      <c r="P1" s="235"/>
      <c r="Q1" s="235"/>
      <c r="R1" s="235"/>
      <c r="S1" s="235"/>
      <c r="T1" s="235"/>
      <c r="U1" s="235"/>
      <c r="V1" s="235"/>
      <c r="W1" s="235"/>
      <c r="X1" s="235"/>
      <c r="Y1" s="235"/>
      <c r="Z1" s="235"/>
      <c r="AA1" s="235"/>
      <c r="AB1" s="235"/>
      <c r="AC1" s="235"/>
      <c r="AD1" s="235"/>
      <c r="AE1" s="235"/>
      <c r="AF1" s="234"/>
      <c r="AZ1" s="233"/>
      <c r="BA1" s="233"/>
    </row>
    <row r="2" spans="1:53">
      <c r="E2" s="91" t="s">
        <v>183</v>
      </c>
      <c r="F2" s="319" t="s">
        <v>228</v>
      </c>
      <c r="G2" s="319"/>
      <c r="H2" s="319"/>
      <c r="I2" s="319"/>
      <c r="J2" s="319"/>
      <c r="K2" s="319"/>
      <c r="L2" s="320"/>
      <c r="M2" s="151" t="s">
        <v>182</v>
      </c>
      <c r="N2" s="232" t="s">
        <v>227</v>
      </c>
      <c r="O2" s="45"/>
      <c r="P2" s="45"/>
      <c r="Q2" s="45"/>
      <c r="R2" s="45"/>
      <c r="S2" s="45"/>
      <c r="T2" s="45"/>
      <c r="U2" s="45"/>
      <c r="V2" s="45"/>
      <c r="W2" s="45"/>
      <c r="X2" s="45"/>
      <c r="Y2" s="45"/>
      <c r="Z2" s="45"/>
      <c r="AA2" s="45"/>
      <c r="AB2" s="45"/>
      <c r="AC2" s="45"/>
      <c r="AD2" s="45"/>
      <c r="AE2" s="45"/>
      <c r="AF2" s="90"/>
    </row>
    <row r="3" spans="1:53" s="83" customFormat="1" ht="13.5" thickBot="1">
      <c r="A3" s="45"/>
      <c r="B3" s="45"/>
      <c r="C3" s="45"/>
      <c r="D3" s="45"/>
      <c r="E3" s="84" t="s">
        <v>181</v>
      </c>
      <c r="F3" s="231" t="s">
        <v>180</v>
      </c>
      <c r="J3" s="230"/>
      <c r="K3" s="230"/>
      <c r="M3" s="229"/>
      <c r="Q3" s="228"/>
      <c r="AF3" s="79"/>
      <c r="AK3" s="228"/>
      <c r="AL3" s="228"/>
      <c r="AM3" s="228"/>
      <c r="AN3" s="228"/>
      <c r="AO3" s="228"/>
      <c r="AP3" s="228"/>
      <c r="AZ3" s="227"/>
      <c r="BA3" s="227"/>
    </row>
    <row r="4" spans="1:53">
      <c r="E4" s="91"/>
      <c r="F4" s="45"/>
      <c r="G4" s="45"/>
      <c r="H4" s="45"/>
      <c r="I4" s="45"/>
      <c r="J4" s="226"/>
      <c r="K4" s="226"/>
      <c r="L4" s="45"/>
      <c r="M4" s="45"/>
      <c r="N4" s="45"/>
      <c r="O4" s="45"/>
      <c r="P4" s="45"/>
      <c r="Q4" s="45"/>
      <c r="R4" s="45"/>
      <c r="S4" s="45"/>
      <c r="T4" s="45"/>
      <c r="U4" s="45"/>
      <c r="V4" s="45"/>
      <c r="W4" s="45"/>
      <c r="X4" s="45"/>
      <c r="Y4" s="45"/>
      <c r="Z4" s="45"/>
      <c r="AA4" s="45"/>
      <c r="AB4" s="45"/>
      <c r="AC4" s="45"/>
      <c r="AD4" s="45"/>
      <c r="AE4" s="45"/>
      <c r="AF4" s="90"/>
      <c r="AT4" s="45"/>
    </row>
    <row r="5" spans="1:53" hidden="1" outlineLevel="1">
      <c r="E5" s="91"/>
      <c r="F5" s="45"/>
      <c r="G5" s="45"/>
      <c r="H5" s="45"/>
      <c r="I5" s="45"/>
      <c r="J5" s="225"/>
      <c r="K5" s="225"/>
      <c r="L5" s="224"/>
      <c r="M5" s="45"/>
      <c r="N5" s="146" t="str">
        <f>N28&amp;"%"</f>
        <v>B%</v>
      </c>
      <c r="O5" s="146" t="str">
        <f>O28&amp;"%"</f>
        <v>%</v>
      </c>
      <c r="P5" s="146" t="str">
        <f>P28&amp;"%"</f>
        <v>%</v>
      </c>
      <c r="Q5" s="146" t="str">
        <f>Q28&amp;"%"</f>
        <v>C%</v>
      </c>
      <c r="R5" s="146" t="str">
        <f>R28&amp;"%"</f>
        <v>D%</v>
      </c>
      <c r="S5" s="146"/>
      <c r="T5" s="146"/>
      <c r="U5" s="146" t="str">
        <f t="shared" ref="U5:Z5" si="0">U28&amp;"%"</f>
        <v>%</v>
      </c>
      <c r="V5" s="146" t="str">
        <f t="shared" si="0"/>
        <v>%</v>
      </c>
      <c r="W5" s="146" t="str">
        <f t="shared" si="0"/>
        <v>%</v>
      </c>
      <c r="X5" s="146" t="str">
        <f t="shared" si="0"/>
        <v>%</v>
      </c>
      <c r="Y5" s="146" t="str">
        <f t="shared" si="0"/>
        <v>%</v>
      </c>
      <c r="Z5" s="146" t="str">
        <f t="shared" si="0"/>
        <v>E%</v>
      </c>
      <c r="AA5" s="146"/>
      <c r="AB5" s="146" t="str">
        <f>AB28&amp;"%"</f>
        <v>G%</v>
      </c>
      <c r="AC5" s="45"/>
      <c r="AD5" s="45"/>
      <c r="AE5" s="45"/>
      <c r="AF5" s="90"/>
      <c r="AJ5" s="146"/>
      <c r="AK5" s="146"/>
      <c r="AL5" s="146"/>
      <c r="AM5" s="146"/>
      <c r="AN5" s="146"/>
      <c r="AO5" s="146"/>
      <c r="AP5" s="146"/>
      <c r="AQ5" s="146"/>
      <c r="AR5" s="146"/>
      <c r="AS5" s="146"/>
      <c r="AT5" s="220"/>
      <c r="AU5" s="143"/>
    </row>
    <row r="6" spans="1:53" hidden="1" outlineLevel="1">
      <c r="E6" s="91"/>
      <c r="F6" s="45"/>
      <c r="G6" s="45"/>
      <c r="H6" s="45"/>
      <c r="I6" s="223"/>
      <c r="J6" s="221"/>
      <c r="K6" s="146"/>
      <c r="L6" s="222">
        <f t="shared" ref="L6:R6" ca="1" si="1">COLUMN(L6)-COLUMN(OFFSET($L6,0,-1))</f>
        <v>1</v>
      </c>
      <c r="M6" s="222">
        <f t="shared" ca="1" si="1"/>
        <v>2</v>
      </c>
      <c r="N6" s="222">
        <f t="shared" ca="1" si="1"/>
        <v>3</v>
      </c>
      <c r="O6" s="222">
        <f t="shared" ca="1" si="1"/>
        <v>4</v>
      </c>
      <c r="P6" s="222">
        <f t="shared" ca="1" si="1"/>
        <v>5</v>
      </c>
      <c r="Q6" s="222">
        <f t="shared" ca="1" si="1"/>
        <v>6</v>
      </c>
      <c r="R6" s="222">
        <f t="shared" ca="1" si="1"/>
        <v>7</v>
      </c>
      <c r="S6" s="222"/>
      <c r="T6" s="222"/>
      <c r="U6" s="222">
        <f t="shared" ref="U6:Z6" ca="1" si="2">COLUMN(U6)-COLUMN(OFFSET($L6,0,-1))</f>
        <v>10</v>
      </c>
      <c r="V6" s="222">
        <f t="shared" ca="1" si="2"/>
        <v>11</v>
      </c>
      <c r="W6" s="222">
        <f t="shared" ca="1" si="2"/>
        <v>12</v>
      </c>
      <c r="X6" s="222">
        <f t="shared" ca="1" si="2"/>
        <v>13</v>
      </c>
      <c r="Y6" s="222">
        <f t="shared" ca="1" si="2"/>
        <v>14</v>
      </c>
      <c r="Z6" s="222">
        <f t="shared" ca="1" si="2"/>
        <v>15</v>
      </c>
      <c r="AA6" s="222"/>
      <c r="AB6" s="222">
        <f ca="1">COLUMN(AB6)-COLUMN(OFFSET($L6,0,-1))</f>
        <v>17</v>
      </c>
      <c r="AC6" s="45"/>
      <c r="AD6" s="45"/>
      <c r="AE6" s="45"/>
      <c r="AF6" s="90"/>
      <c r="AG6" s="221"/>
      <c r="AH6" s="221"/>
      <c r="AI6" s="221"/>
      <c r="AJ6" s="146"/>
      <c r="AK6" s="146"/>
      <c r="AL6" s="146"/>
      <c r="AM6" s="146"/>
      <c r="AN6" s="146"/>
      <c r="AO6" s="146"/>
      <c r="AP6" s="146"/>
      <c r="AQ6" s="146"/>
      <c r="AR6" s="146"/>
      <c r="AS6" s="146"/>
      <c r="AT6" s="220"/>
      <c r="AU6" s="143"/>
    </row>
    <row r="7" spans="1:53" collapsed="1">
      <c r="E7" s="219"/>
      <c r="F7" s="139" t="s">
        <v>179</v>
      </c>
      <c r="G7" s="139" t="s">
        <v>178</v>
      </c>
      <c r="H7" s="139"/>
      <c r="I7" s="69"/>
      <c r="J7" s="213"/>
      <c r="K7" s="213"/>
      <c r="L7" s="218"/>
      <c r="M7" s="217"/>
      <c r="N7" s="217"/>
      <c r="O7" s="217"/>
      <c r="P7" s="217"/>
      <c r="Q7" s="217" t="s">
        <v>261</v>
      </c>
      <c r="R7" s="217"/>
      <c r="S7" s="217"/>
      <c r="T7" s="217"/>
      <c r="U7" s="217"/>
      <c r="V7" s="217"/>
      <c r="W7" s="217"/>
      <c r="X7" s="217"/>
      <c r="Y7" s="217"/>
      <c r="Z7" s="217" t="str">
        <f>$Q7</f>
        <v>Contr/Govt</v>
      </c>
      <c r="AA7" s="217"/>
      <c r="AB7" s="216"/>
      <c r="AC7" s="45"/>
      <c r="AD7" s="45"/>
      <c r="AE7" s="45"/>
      <c r="AF7" s="215"/>
      <c r="AG7" s="214"/>
      <c r="AH7" s="214"/>
      <c r="AI7" s="214"/>
      <c r="AJ7" s="213"/>
      <c r="AK7" s="213"/>
      <c r="AL7" s="213"/>
      <c r="AM7" s="213"/>
      <c r="AN7" s="213"/>
      <c r="AO7" s="213"/>
      <c r="AP7" s="213"/>
      <c r="AQ7" s="213"/>
      <c r="AR7" s="213"/>
      <c r="AS7" s="212"/>
      <c r="AT7" s="151"/>
    </row>
    <row r="8" spans="1:53" ht="14.25" customHeight="1">
      <c r="E8" s="211" t="s">
        <v>269</v>
      </c>
      <c r="F8" s="210">
        <v>40179</v>
      </c>
      <c r="G8" s="209">
        <v>41152</v>
      </c>
      <c r="H8" s="208"/>
      <c r="I8" s="164"/>
      <c r="J8" s="205" t="s">
        <v>177</v>
      </c>
      <c r="K8" s="205" t="s">
        <v>176</v>
      </c>
      <c r="L8" s="75" t="s">
        <v>175</v>
      </c>
      <c r="M8" s="205" t="s">
        <v>174</v>
      </c>
      <c r="N8" s="205" t="s">
        <v>173</v>
      </c>
      <c r="O8" s="205" t="s">
        <v>172</v>
      </c>
      <c r="P8" s="205" t="s">
        <v>171</v>
      </c>
      <c r="Q8" s="205" t="s">
        <v>170</v>
      </c>
      <c r="R8" s="205" t="s">
        <v>169</v>
      </c>
      <c r="S8" s="205" t="s">
        <v>168</v>
      </c>
      <c r="T8" s="205" t="s">
        <v>167</v>
      </c>
      <c r="U8" s="205" t="s">
        <v>166</v>
      </c>
      <c r="V8" s="205" t="s">
        <v>187</v>
      </c>
      <c r="W8" s="205" t="s">
        <v>164</v>
      </c>
      <c r="X8" s="205" t="s">
        <v>163</v>
      </c>
      <c r="Y8" s="205" t="s">
        <v>162</v>
      </c>
      <c r="Z8" s="205" t="s">
        <v>161</v>
      </c>
      <c r="AA8" s="205" t="s">
        <v>160</v>
      </c>
      <c r="AB8" s="71" t="s">
        <v>159</v>
      </c>
      <c r="AC8" s="45"/>
      <c r="AD8" s="45"/>
      <c r="AE8" s="45"/>
      <c r="AF8" s="207" t="s">
        <v>158</v>
      </c>
      <c r="AG8" s="206"/>
      <c r="AH8" s="206"/>
      <c r="AI8" s="206"/>
      <c r="AJ8" s="205"/>
      <c r="AK8" s="205"/>
      <c r="AL8" s="205"/>
      <c r="AM8" s="205"/>
      <c r="AN8" s="205"/>
      <c r="AO8" s="205"/>
      <c r="AP8" s="205"/>
      <c r="AQ8" s="205"/>
      <c r="AR8" s="205"/>
      <c r="AS8" s="205"/>
      <c r="AT8" s="151"/>
    </row>
    <row r="9" spans="1:53" hidden="1">
      <c r="B9" s="45">
        <v>750</v>
      </c>
      <c r="E9" s="91"/>
      <c r="F9" s="45"/>
      <c r="G9" s="45"/>
      <c r="H9" s="45"/>
      <c r="I9" s="164"/>
      <c r="J9" s="193" t="s">
        <v>262</v>
      </c>
      <c r="K9" s="192" t="s">
        <v>157</v>
      </c>
      <c r="L9" s="172" t="s">
        <v>157</v>
      </c>
      <c r="M9" s="190">
        <v>3.3000000000000002E-2</v>
      </c>
      <c r="N9" s="189">
        <v>1.0535182089062498</v>
      </c>
      <c r="O9" s="188">
        <v>0.35</v>
      </c>
      <c r="P9" s="188">
        <v>0.35</v>
      </c>
      <c r="Q9" s="184">
        <v>0.31240000000000001</v>
      </c>
      <c r="R9" s="184">
        <v>0.1988</v>
      </c>
      <c r="S9" s="184"/>
      <c r="T9" s="184"/>
      <c r="U9" s="203">
        <v>5000</v>
      </c>
      <c r="V9" s="203">
        <v>5000</v>
      </c>
      <c r="W9" s="188">
        <v>0.35</v>
      </c>
      <c r="X9" s="188">
        <v>0.35</v>
      </c>
      <c r="Y9" s="188">
        <v>0.35</v>
      </c>
      <c r="Z9" s="184">
        <v>9.2399999999999996E-2</v>
      </c>
      <c r="AA9" s="187"/>
      <c r="AB9" s="167">
        <v>0.15</v>
      </c>
      <c r="AC9" s="45"/>
      <c r="AD9" s="45"/>
      <c r="AE9" s="45"/>
      <c r="AF9" s="195">
        <f t="shared" ref="AF9:AF24" si="3">IF(M9="","",M9)</f>
        <v>3.3000000000000002E-2</v>
      </c>
      <c r="AG9" s="185"/>
      <c r="AH9" s="185"/>
      <c r="AI9" s="185"/>
      <c r="AJ9" s="184"/>
      <c r="AK9" s="184"/>
      <c r="AL9" s="184"/>
      <c r="AM9" s="184"/>
      <c r="AN9" s="184"/>
      <c r="AO9" s="184"/>
      <c r="AP9" s="184"/>
      <c r="AQ9" s="184"/>
      <c r="AR9" s="184"/>
      <c r="AS9" s="184"/>
      <c r="AT9" s="151"/>
    </row>
    <row r="10" spans="1:53" ht="15" customHeight="1">
      <c r="B10" s="45">
        <f>B9/3</f>
        <v>250</v>
      </c>
      <c r="E10" s="91"/>
      <c r="F10" s="45"/>
      <c r="G10" s="45"/>
      <c r="H10" s="45"/>
      <c r="I10" s="164"/>
      <c r="J10" s="174" t="str">
        <f>J$9</f>
        <v>IS</v>
      </c>
      <c r="K10" s="173" t="s">
        <v>120</v>
      </c>
      <c r="L10" s="200" t="s">
        <v>120</v>
      </c>
      <c r="M10" s="190">
        <v>3.3000000000000002E-2</v>
      </c>
      <c r="N10" s="189">
        <v>1.0535182089062498</v>
      </c>
      <c r="O10" s="197">
        <v>0</v>
      </c>
      <c r="P10" s="197">
        <v>0</v>
      </c>
      <c r="Q10" s="184">
        <v>0.31240000000000001</v>
      </c>
      <c r="R10" s="184">
        <v>2.23E-2</v>
      </c>
      <c r="S10" s="204"/>
      <c r="T10" s="204"/>
      <c r="U10" s="245">
        <v>0</v>
      </c>
      <c r="V10" s="203">
        <v>218</v>
      </c>
      <c r="W10" s="202">
        <v>0</v>
      </c>
      <c r="X10" s="197">
        <v>1.9E-2</v>
      </c>
      <c r="Y10" s="201">
        <v>0</v>
      </c>
      <c r="Z10" s="184">
        <v>9.2399999999999996E-2</v>
      </c>
      <c r="AA10" s="196"/>
      <c r="AB10" s="186">
        <f>'Pricing Summary'!C52</f>
        <v>0.08</v>
      </c>
      <c r="AC10" s="45"/>
      <c r="AD10" s="45"/>
      <c r="AE10" s="45"/>
      <c r="AF10" s="195">
        <f t="shared" si="3"/>
        <v>3.3000000000000002E-2</v>
      </c>
      <c r="AG10" s="194"/>
      <c r="AH10" s="194"/>
      <c r="AI10" s="194"/>
      <c r="AJ10" s="184"/>
      <c r="AK10" s="184"/>
      <c r="AL10" s="184"/>
      <c r="AM10" s="184"/>
      <c r="AN10" s="184"/>
      <c r="AO10" s="184"/>
      <c r="AP10" s="184"/>
      <c r="AQ10" s="184"/>
      <c r="AR10" s="184"/>
      <c r="AS10" s="184"/>
      <c r="AT10" s="151"/>
    </row>
    <row r="11" spans="1:53" hidden="1" outlineLevel="1">
      <c r="E11" s="91"/>
      <c r="F11" s="45"/>
      <c r="G11" s="45"/>
      <c r="H11" s="45"/>
      <c r="I11" s="164"/>
      <c r="J11" s="174" t="str">
        <f>J$9</f>
        <v>IS</v>
      </c>
      <c r="K11" s="173" t="str">
        <f>K$9</f>
        <v>Contr</v>
      </c>
      <c r="L11" s="200" t="s">
        <v>156</v>
      </c>
      <c r="M11" s="199">
        <v>0</v>
      </c>
      <c r="N11" s="198">
        <v>1</v>
      </c>
      <c r="O11" s="188">
        <v>0</v>
      </c>
      <c r="P11" s="197">
        <v>0</v>
      </c>
      <c r="Q11" s="184">
        <v>0.31240000000000001</v>
      </c>
      <c r="R11" s="184">
        <v>0.1988</v>
      </c>
      <c r="S11" s="184"/>
      <c r="T11" s="184"/>
      <c r="U11" s="197">
        <v>0</v>
      </c>
      <c r="V11" s="197">
        <v>0</v>
      </c>
      <c r="W11" s="197">
        <v>0</v>
      </c>
      <c r="X11" s="197">
        <v>0</v>
      </c>
      <c r="Y11" s="197">
        <v>0</v>
      </c>
      <c r="Z11" s="184">
        <v>9.2399999999999996E-2</v>
      </c>
      <c r="AA11" s="196"/>
      <c r="AB11" s="186">
        <f t="shared" ref="AB11:AB20" si="4">AB10</f>
        <v>0.08</v>
      </c>
      <c r="AC11" s="45"/>
      <c r="AD11" s="45"/>
      <c r="AE11" s="45"/>
      <c r="AF11" s="195">
        <f t="shared" si="3"/>
        <v>0</v>
      </c>
      <c r="AG11" s="194"/>
      <c r="AH11" s="194"/>
      <c r="AI11" s="194"/>
      <c r="AJ11" s="184"/>
      <c r="AK11" s="184"/>
      <c r="AL11" s="184"/>
      <c r="AM11" s="184"/>
      <c r="AN11" s="184"/>
      <c r="AO11" s="184"/>
      <c r="AP11" s="184"/>
      <c r="AQ11" s="184"/>
      <c r="AR11" s="184"/>
      <c r="AS11" s="184"/>
      <c r="AT11" s="151"/>
    </row>
    <row r="12" spans="1:53" hidden="1" outlineLevel="1">
      <c r="E12" s="91"/>
      <c r="F12" s="45"/>
      <c r="G12" s="45"/>
      <c r="H12" s="45"/>
      <c r="I12" s="164"/>
      <c r="J12" s="174" t="str">
        <f>J$9</f>
        <v>IS</v>
      </c>
      <c r="K12" s="173" t="str">
        <f>K$10</f>
        <v>Govt</v>
      </c>
      <c r="L12" s="200" t="s">
        <v>155</v>
      </c>
      <c r="M12" s="199">
        <v>0</v>
      </c>
      <c r="N12" s="198">
        <v>1</v>
      </c>
      <c r="O12" s="197">
        <v>0</v>
      </c>
      <c r="P12" s="197">
        <v>0</v>
      </c>
      <c r="Q12" s="184">
        <v>0.31240000000000001</v>
      </c>
      <c r="R12" s="184">
        <v>2.23E-2</v>
      </c>
      <c r="S12" s="184"/>
      <c r="T12" s="184"/>
      <c r="U12" s="197">
        <v>0</v>
      </c>
      <c r="V12" s="197">
        <v>0</v>
      </c>
      <c r="W12" s="197">
        <v>0</v>
      </c>
      <c r="X12" s="197">
        <v>0</v>
      </c>
      <c r="Y12" s="197">
        <v>0</v>
      </c>
      <c r="Z12" s="184">
        <v>9.2399999999999996E-2</v>
      </c>
      <c r="AA12" s="196"/>
      <c r="AB12" s="186">
        <f t="shared" si="4"/>
        <v>0.08</v>
      </c>
      <c r="AC12" s="45"/>
      <c r="AD12" s="45"/>
      <c r="AE12" s="45"/>
      <c r="AF12" s="195">
        <f t="shared" si="3"/>
        <v>0</v>
      </c>
      <c r="AG12" s="194"/>
      <c r="AH12" s="194"/>
      <c r="AI12" s="194"/>
      <c r="AJ12" s="184"/>
      <c r="AK12" s="184"/>
      <c r="AL12" s="184"/>
      <c r="AM12" s="184"/>
      <c r="AN12" s="184"/>
      <c r="AO12" s="184"/>
      <c r="AP12" s="184"/>
      <c r="AQ12" s="184"/>
      <c r="AR12" s="184"/>
      <c r="AS12" s="184"/>
      <c r="AT12" s="151"/>
    </row>
    <row r="13" spans="1:53" hidden="1" outlineLevel="1">
      <c r="E13" s="91"/>
      <c r="F13" s="45"/>
      <c r="G13" s="45"/>
      <c r="H13" s="45"/>
      <c r="I13" s="164"/>
      <c r="J13" s="174" t="s">
        <v>263</v>
      </c>
      <c r="K13" s="173" t="str">
        <f>K$9</f>
        <v>Contr</v>
      </c>
      <c r="L13" s="200" t="s">
        <v>154</v>
      </c>
      <c r="M13" s="190">
        <v>3.3000000000000002E-2</v>
      </c>
      <c r="N13" s="189">
        <v>1.0535182089062498</v>
      </c>
      <c r="O13" s="188">
        <v>0</v>
      </c>
      <c r="P13" s="188">
        <v>0</v>
      </c>
      <c r="Q13" s="184">
        <v>0.35099999999999998</v>
      </c>
      <c r="R13" s="184">
        <v>0.17249999999999999</v>
      </c>
      <c r="S13" s="184"/>
      <c r="T13" s="184"/>
      <c r="U13" s="188">
        <v>0</v>
      </c>
      <c r="V13" s="188">
        <v>0</v>
      </c>
      <c r="W13" s="188">
        <v>0</v>
      </c>
      <c r="X13" s="188">
        <v>0</v>
      </c>
      <c r="Y13" s="188">
        <v>0</v>
      </c>
      <c r="Z13" s="184">
        <v>9.0899999999999995E-2</v>
      </c>
      <c r="AA13" s="196"/>
      <c r="AB13" s="186">
        <f t="shared" si="4"/>
        <v>0.08</v>
      </c>
      <c r="AC13" s="45"/>
      <c r="AD13" s="45"/>
      <c r="AE13" s="45"/>
      <c r="AF13" s="195">
        <f t="shared" si="3"/>
        <v>3.3000000000000002E-2</v>
      </c>
      <c r="AG13" s="194"/>
      <c r="AH13" s="194"/>
      <c r="AI13" s="194"/>
      <c r="AJ13" s="184"/>
      <c r="AK13" s="184"/>
      <c r="AL13" s="184"/>
      <c r="AM13" s="184"/>
      <c r="AN13" s="184"/>
      <c r="AO13" s="184"/>
      <c r="AP13" s="184"/>
      <c r="AQ13" s="184"/>
      <c r="AR13" s="184"/>
      <c r="AS13" s="184"/>
      <c r="AT13" s="151"/>
    </row>
    <row r="14" spans="1:53" hidden="1" outlineLevel="1">
      <c r="E14" s="91"/>
      <c r="F14" s="45"/>
      <c r="G14" s="45"/>
      <c r="H14" s="45"/>
      <c r="I14" s="164"/>
      <c r="J14" s="174" t="str">
        <f>J13</f>
        <v>ESD</v>
      </c>
      <c r="K14" s="173" t="str">
        <f>K$10</f>
        <v>Govt</v>
      </c>
      <c r="L14" s="200" t="s">
        <v>153</v>
      </c>
      <c r="M14" s="190">
        <v>3.3000000000000002E-2</v>
      </c>
      <c r="N14" s="189">
        <v>1.0535182089062498</v>
      </c>
      <c r="O14" s="197">
        <v>0</v>
      </c>
      <c r="P14" s="197">
        <v>0</v>
      </c>
      <c r="Q14" s="184">
        <v>0.35099999999999998</v>
      </c>
      <c r="R14" s="184">
        <v>3.1E-2</v>
      </c>
      <c r="S14" s="184"/>
      <c r="T14" s="184"/>
      <c r="U14" s="197">
        <v>0</v>
      </c>
      <c r="V14" s="197">
        <v>0</v>
      </c>
      <c r="W14" s="197">
        <v>0</v>
      </c>
      <c r="X14" s="197">
        <v>0</v>
      </c>
      <c r="Y14" s="197">
        <v>0</v>
      </c>
      <c r="Z14" s="184">
        <v>9.0899999999999995E-2</v>
      </c>
      <c r="AA14" s="196"/>
      <c r="AB14" s="186">
        <f t="shared" si="4"/>
        <v>0.08</v>
      </c>
      <c r="AC14" s="45"/>
      <c r="AD14" s="45"/>
      <c r="AE14" s="45"/>
      <c r="AF14" s="195">
        <f t="shared" si="3"/>
        <v>3.3000000000000002E-2</v>
      </c>
      <c r="AG14" s="194"/>
      <c r="AH14" s="194"/>
      <c r="AI14" s="194"/>
      <c r="AJ14" s="184"/>
      <c r="AK14" s="184"/>
      <c r="AL14" s="184"/>
      <c r="AM14" s="184"/>
      <c r="AN14" s="184"/>
      <c r="AO14" s="184"/>
      <c r="AP14" s="184"/>
      <c r="AQ14" s="184"/>
      <c r="AR14" s="184"/>
      <c r="AS14" s="184"/>
      <c r="AT14" s="151"/>
    </row>
    <row r="15" spans="1:53" hidden="1" outlineLevel="1">
      <c r="E15" s="91"/>
      <c r="F15" s="45"/>
      <c r="G15" s="45"/>
      <c r="H15" s="45"/>
      <c r="I15" s="164"/>
      <c r="J15" s="174" t="s">
        <v>263</v>
      </c>
      <c r="K15" s="173" t="str">
        <f>K$9</f>
        <v>Contr</v>
      </c>
      <c r="L15" s="200" t="s">
        <v>152</v>
      </c>
      <c r="M15" s="190">
        <v>3.3000000000000002E-2</v>
      </c>
      <c r="N15" s="189">
        <v>1.0535182089062498</v>
      </c>
      <c r="O15" s="188">
        <v>0</v>
      </c>
      <c r="P15" s="188">
        <v>0</v>
      </c>
      <c r="Q15" s="184">
        <v>0.35099999999999998</v>
      </c>
      <c r="R15" s="184">
        <v>0.17249999999999999</v>
      </c>
      <c r="S15" s="184"/>
      <c r="T15" s="184"/>
      <c r="U15" s="188">
        <v>0</v>
      </c>
      <c r="V15" s="188">
        <v>0</v>
      </c>
      <c r="W15" s="188">
        <v>0</v>
      </c>
      <c r="X15" s="188">
        <v>0</v>
      </c>
      <c r="Y15" s="188">
        <v>0</v>
      </c>
      <c r="Z15" s="184">
        <v>9.0899999999999995E-2</v>
      </c>
      <c r="AA15" s="196"/>
      <c r="AB15" s="186">
        <f t="shared" si="4"/>
        <v>0.08</v>
      </c>
      <c r="AC15" s="45"/>
      <c r="AD15" s="45"/>
      <c r="AE15" s="45"/>
      <c r="AF15" s="195">
        <f t="shared" si="3"/>
        <v>3.3000000000000002E-2</v>
      </c>
      <c r="AG15" s="194"/>
      <c r="AH15" s="194"/>
      <c r="AI15" s="194"/>
      <c r="AJ15" s="184"/>
      <c r="AK15" s="184"/>
      <c r="AL15" s="184"/>
      <c r="AM15" s="184"/>
      <c r="AN15" s="184"/>
      <c r="AO15" s="184"/>
      <c r="AP15" s="184"/>
      <c r="AQ15" s="184"/>
      <c r="AR15" s="184"/>
      <c r="AS15" s="184"/>
      <c r="AT15" s="151"/>
    </row>
    <row r="16" spans="1:53" hidden="1" outlineLevel="1">
      <c r="E16" s="91"/>
      <c r="F16" s="45"/>
      <c r="G16" s="45"/>
      <c r="H16" s="45"/>
      <c r="I16" s="164"/>
      <c r="J16" s="174" t="str">
        <f>J15</f>
        <v>ESD</v>
      </c>
      <c r="K16" s="173" t="str">
        <f>K$10</f>
        <v>Govt</v>
      </c>
      <c r="L16" s="200" t="s">
        <v>151</v>
      </c>
      <c r="M16" s="190">
        <v>3.3000000000000002E-2</v>
      </c>
      <c r="N16" s="189">
        <v>1.0535182089062498</v>
      </c>
      <c r="O16" s="197">
        <v>0</v>
      </c>
      <c r="P16" s="197">
        <v>0</v>
      </c>
      <c r="Q16" s="184">
        <v>0.35099999999999998</v>
      </c>
      <c r="R16" s="184">
        <v>3.1E-2</v>
      </c>
      <c r="S16" s="184"/>
      <c r="T16" s="184"/>
      <c r="U16" s="197">
        <v>0</v>
      </c>
      <c r="V16" s="197">
        <v>0</v>
      </c>
      <c r="W16" s="197">
        <v>0</v>
      </c>
      <c r="X16" s="197">
        <v>0</v>
      </c>
      <c r="Y16" s="197">
        <v>0</v>
      </c>
      <c r="Z16" s="184">
        <v>9.0899999999999995E-2</v>
      </c>
      <c r="AA16" s="196"/>
      <c r="AB16" s="186">
        <f t="shared" si="4"/>
        <v>0.08</v>
      </c>
      <c r="AC16" s="45"/>
      <c r="AD16" s="45"/>
      <c r="AE16" s="45"/>
      <c r="AF16" s="195">
        <f t="shared" si="3"/>
        <v>3.3000000000000002E-2</v>
      </c>
      <c r="AG16" s="194"/>
      <c r="AH16" s="194"/>
      <c r="AI16" s="194"/>
      <c r="AJ16" s="184"/>
      <c r="AK16" s="184"/>
      <c r="AL16" s="184"/>
      <c r="AM16" s="184"/>
      <c r="AN16" s="184"/>
      <c r="AO16" s="184"/>
      <c r="AP16" s="184"/>
      <c r="AQ16" s="184"/>
      <c r="AR16" s="184"/>
      <c r="AS16" s="184"/>
      <c r="AT16" s="151"/>
    </row>
    <row r="17" spans="4:53" hidden="1" outlineLevel="1">
      <c r="E17" s="91"/>
      <c r="F17" s="45"/>
      <c r="G17" s="45"/>
      <c r="H17" s="45"/>
      <c r="I17" s="164"/>
      <c r="J17" s="174" t="str">
        <f>J$9</f>
        <v>IS</v>
      </c>
      <c r="K17" s="173" t="str">
        <f>K$9</f>
        <v>Contr</v>
      </c>
      <c r="L17" s="200" t="s">
        <v>150</v>
      </c>
      <c r="M17" s="190">
        <v>3.3000000000000002E-2</v>
      </c>
      <c r="N17" s="189">
        <v>1.0535182089062498</v>
      </c>
      <c r="O17" s="197">
        <v>0.5</v>
      </c>
      <c r="P17" s="197">
        <v>0</v>
      </c>
      <c r="Q17" s="184">
        <v>0.31240000000000001</v>
      </c>
      <c r="R17" s="184">
        <v>0.1988</v>
      </c>
      <c r="S17" s="184"/>
      <c r="T17" s="184"/>
      <c r="U17" s="197">
        <v>0</v>
      </c>
      <c r="V17" s="197">
        <v>0</v>
      </c>
      <c r="W17" s="197">
        <v>0</v>
      </c>
      <c r="X17" s="197">
        <v>0</v>
      </c>
      <c r="Y17" s="197">
        <v>0</v>
      </c>
      <c r="Z17" s="184">
        <v>9.2399999999999996E-2</v>
      </c>
      <c r="AA17" s="196"/>
      <c r="AB17" s="186">
        <f t="shared" si="4"/>
        <v>0.08</v>
      </c>
      <c r="AC17" s="45"/>
      <c r="AD17" s="45"/>
      <c r="AE17" s="45"/>
      <c r="AF17" s="195">
        <f t="shared" si="3"/>
        <v>3.3000000000000002E-2</v>
      </c>
      <c r="AG17" s="194"/>
      <c r="AH17" s="194"/>
      <c r="AI17" s="194"/>
      <c r="AJ17" s="184"/>
      <c r="AK17" s="184"/>
      <c r="AL17" s="184"/>
      <c r="AM17" s="184"/>
      <c r="AN17" s="184"/>
      <c r="AO17" s="184"/>
      <c r="AP17" s="184"/>
      <c r="AQ17" s="184"/>
      <c r="AR17" s="184"/>
      <c r="AS17" s="184"/>
      <c r="AT17" s="151"/>
    </row>
    <row r="18" spans="4:53" hidden="1" outlineLevel="1">
      <c r="E18" s="91"/>
      <c r="F18" s="45"/>
      <c r="G18" s="45"/>
      <c r="H18" s="45"/>
      <c r="I18" s="164"/>
      <c r="J18" s="174" t="str">
        <f t="shared" ref="J18:J24" si="5">J$9</f>
        <v>IS</v>
      </c>
      <c r="K18" s="173" t="str">
        <f>K$10</f>
        <v>Govt</v>
      </c>
      <c r="L18" s="200" t="s">
        <v>149</v>
      </c>
      <c r="M18" s="190">
        <v>3.3000000000000002E-2</v>
      </c>
      <c r="N18" s="189">
        <v>1.0535182089062498</v>
      </c>
      <c r="O18" s="197">
        <v>0.5</v>
      </c>
      <c r="P18" s="197">
        <v>0</v>
      </c>
      <c r="Q18" s="184">
        <v>0.31240000000000001</v>
      </c>
      <c r="R18" s="184">
        <v>2.23E-2</v>
      </c>
      <c r="S18" s="184"/>
      <c r="T18" s="184"/>
      <c r="U18" s="197">
        <v>0</v>
      </c>
      <c r="V18" s="197">
        <v>0</v>
      </c>
      <c r="W18" s="197">
        <v>0</v>
      </c>
      <c r="X18" s="197">
        <v>0</v>
      </c>
      <c r="Y18" s="197">
        <v>0</v>
      </c>
      <c r="Z18" s="184">
        <v>9.2399999999999996E-2</v>
      </c>
      <c r="AA18" s="196"/>
      <c r="AB18" s="186">
        <f t="shared" si="4"/>
        <v>0.08</v>
      </c>
      <c r="AC18" s="45"/>
      <c r="AD18" s="45"/>
      <c r="AE18" s="45"/>
      <c r="AF18" s="195">
        <f t="shared" si="3"/>
        <v>3.3000000000000002E-2</v>
      </c>
      <c r="AG18" s="194"/>
      <c r="AH18" s="194"/>
      <c r="AI18" s="194"/>
      <c r="AJ18" s="184"/>
      <c r="AK18" s="184"/>
      <c r="AL18" s="184"/>
      <c r="AM18" s="184"/>
      <c r="AN18" s="184"/>
      <c r="AO18" s="184"/>
      <c r="AP18" s="184"/>
      <c r="AQ18" s="184"/>
      <c r="AR18" s="184"/>
      <c r="AS18" s="184"/>
      <c r="AT18" s="151"/>
    </row>
    <row r="19" spans="4:53" hidden="1" outlineLevel="1">
      <c r="E19" s="91"/>
      <c r="F19" s="45"/>
      <c r="G19" s="45"/>
      <c r="H19" s="45"/>
      <c r="I19" s="164"/>
      <c r="J19" s="174" t="str">
        <f t="shared" si="5"/>
        <v>IS</v>
      </c>
      <c r="K19" s="173" t="str">
        <f>K$9</f>
        <v>Contr</v>
      </c>
      <c r="L19" s="200" t="s">
        <v>148</v>
      </c>
      <c r="M19" s="199">
        <v>0</v>
      </c>
      <c r="N19" s="198">
        <v>1</v>
      </c>
      <c r="O19" s="188">
        <v>0.5</v>
      </c>
      <c r="P19" s="188">
        <v>0</v>
      </c>
      <c r="Q19" s="184">
        <v>0.31240000000000001</v>
      </c>
      <c r="R19" s="184">
        <v>0.1988</v>
      </c>
      <c r="S19" s="184"/>
      <c r="T19" s="184"/>
      <c r="U19" s="188">
        <v>0</v>
      </c>
      <c r="V19" s="188">
        <v>0</v>
      </c>
      <c r="W19" s="188">
        <v>0</v>
      </c>
      <c r="X19" s="188">
        <v>0</v>
      </c>
      <c r="Y19" s="188">
        <v>0</v>
      </c>
      <c r="Z19" s="184">
        <v>9.2399999999999996E-2</v>
      </c>
      <c r="AA19" s="196"/>
      <c r="AB19" s="186">
        <f t="shared" si="4"/>
        <v>0.08</v>
      </c>
      <c r="AC19" s="45"/>
      <c r="AD19" s="45"/>
      <c r="AE19" s="45"/>
      <c r="AF19" s="195">
        <f t="shared" si="3"/>
        <v>0</v>
      </c>
      <c r="AG19" s="194"/>
      <c r="AH19" s="194"/>
      <c r="AI19" s="194"/>
      <c r="AJ19" s="184"/>
      <c r="AK19" s="184"/>
      <c r="AL19" s="184"/>
      <c r="AM19" s="184"/>
      <c r="AN19" s="184"/>
      <c r="AO19" s="184"/>
      <c r="AP19" s="184"/>
      <c r="AQ19" s="184"/>
      <c r="AR19" s="184"/>
      <c r="AS19" s="184"/>
      <c r="AT19" s="151"/>
    </row>
    <row r="20" spans="4:53" hidden="1" outlineLevel="1">
      <c r="E20" s="91"/>
      <c r="F20" s="45"/>
      <c r="G20" s="45"/>
      <c r="H20" s="45"/>
      <c r="I20" s="164"/>
      <c r="J20" s="174" t="str">
        <f t="shared" si="5"/>
        <v>IS</v>
      </c>
      <c r="K20" s="173" t="str">
        <f>K$10</f>
        <v>Govt</v>
      </c>
      <c r="L20" s="200" t="s">
        <v>147</v>
      </c>
      <c r="M20" s="199">
        <v>0</v>
      </c>
      <c r="N20" s="198">
        <v>1</v>
      </c>
      <c r="O20" s="197">
        <v>0.5</v>
      </c>
      <c r="P20" s="197">
        <v>0</v>
      </c>
      <c r="Q20" s="184">
        <v>0.31240000000000001</v>
      </c>
      <c r="R20" s="184">
        <v>2.23E-2</v>
      </c>
      <c r="S20" s="184"/>
      <c r="T20" s="184"/>
      <c r="U20" s="197">
        <v>0</v>
      </c>
      <c r="V20" s="197">
        <v>0</v>
      </c>
      <c r="W20" s="197">
        <v>0</v>
      </c>
      <c r="X20" s="197">
        <v>0</v>
      </c>
      <c r="Y20" s="197">
        <v>0</v>
      </c>
      <c r="Z20" s="184">
        <v>9.2399999999999996E-2</v>
      </c>
      <c r="AA20" s="196"/>
      <c r="AB20" s="186">
        <f t="shared" si="4"/>
        <v>0.08</v>
      </c>
      <c r="AC20" s="45"/>
      <c r="AD20" s="45"/>
      <c r="AE20" s="45"/>
      <c r="AF20" s="195">
        <f t="shared" si="3"/>
        <v>0</v>
      </c>
      <c r="AG20" s="194"/>
      <c r="AH20" s="194"/>
      <c r="AI20" s="194"/>
      <c r="AJ20" s="184"/>
      <c r="AK20" s="184"/>
      <c r="AL20" s="184"/>
      <c r="AM20" s="184"/>
      <c r="AN20" s="184"/>
      <c r="AO20" s="184"/>
      <c r="AP20" s="184"/>
      <c r="AQ20" s="184"/>
      <c r="AR20" s="184"/>
      <c r="AS20" s="184"/>
      <c r="AT20" s="151"/>
    </row>
    <row r="21" spans="4:53" collapsed="1">
      <c r="E21" s="91"/>
      <c r="F21" s="45"/>
      <c r="G21" s="45"/>
      <c r="H21" s="45"/>
      <c r="I21" s="164"/>
      <c r="J21" s="193" t="str">
        <f t="shared" si="5"/>
        <v>IS</v>
      </c>
      <c r="K21" s="192" t="s">
        <v>261</v>
      </c>
      <c r="L21" s="191" t="s">
        <v>119</v>
      </c>
      <c r="M21" s="190">
        <v>0</v>
      </c>
      <c r="N21" s="189">
        <v>1</v>
      </c>
      <c r="O21" s="188">
        <v>0</v>
      </c>
      <c r="P21" s="188">
        <v>0</v>
      </c>
      <c r="Q21" s="184"/>
      <c r="R21" s="184">
        <v>2.9899999999999999E-2</v>
      </c>
      <c r="S21" s="184"/>
      <c r="T21" s="184"/>
      <c r="U21" s="188">
        <v>0</v>
      </c>
      <c r="V21" s="188">
        <v>0</v>
      </c>
      <c r="W21" s="188">
        <v>0</v>
      </c>
      <c r="X21" s="188">
        <v>0</v>
      </c>
      <c r="Y21" s="188">
        <v>0</v>
      </c>
      <c r="Z21" s="184">
        <v>9.2399999999999996E-2</v>
      </c>
      <c r="AA21" s="187"/>
      <c r="AB21" s="186">
        <f>'Pricing Summary'!C53</f>
        <v>0.08</v>
      </c>
      <c r="AC21" s="45"/>
      <c r="AD21" s="45"/>
      <c r="AE21" s="45"/>
      <c r="AF21" s="155">
        <f t="shared" si="3"/>
        <v>0</v>
      </c>
      <c r="AG21" s="185"/>
      <c r="AH21" s="185"/>
      <c r="AI21" s="185"/>
      <c r="AJ21" s="184"/>
      <c r="AK21" s="184"/>
      <c r="AL21" s="184"/>
      <c r="AM21" s="184"/>
      <c r="AN21" s="184"/>
      <c r="AO21" s="184"/>
      <c r="AP21" s="184"/>
      <c r="AQ21" s="184"/>
      <c r="AR21" s="184"/>
      <c r="AS21" s="184"/>
      <c r="AT21" s="151"/>
    </row>
    <row r="22" spans="4:53" hidden="1">
      <c r="E22" s="91"/>
      <c r="F22" s="45"/>
      <c r="G22" s="45"/>
      <c r="H22" s="45"/>
      <c r="I22" s="164"/>
      <c r="J22" s="174" t="str">
        <f t="shared" si="5"/>
        <v>IS</v>
      </c>
      <c r="K22" s="173" t="str">
        <f>K21</f>
        <v>Contr/Govt</v>
      </c>
      <c r="L22" s="183" t="s">
        <v>146</v>
      </c>
      <c r="M22" s="182">
        <v>0</v>
      </c>
      <c r="N22" s="181">
        <f>N21</f>
        <v>1</v>
      </c>
      <c r="O22" s="180">
        <v>0</v>
      </c>
      <c r="P22" s="180">
        <v>0</v>
      </c>
      <c r="Q22" s="176"/>
      <c r="R22" s="175">
        <v>2.9899999999999999E-2</v>
      </c>
      <c r="S22" s="175"/>
      <c r="T22" s="175"/>
      <c r="U22" s="180">
        <v>0</v>
      </c>
      <c r="V22" s="180">
        <v>0</v>
      </c>
      <c r="W22" s="180">
        <v>0</v>
      </c>
      <c r="X22" s="180">
        <v>0</v>
      </c>
      <c r="Y22" s="180">
        <v>0</v>
      </c>
      <c r="Z22" s="175">
        <v>9.2399999999999996E-2</v>
      </c>
      <c r="AA22" s="179"/>
      <c r="AB22" s="178">
        <f>AB21</f>
        <v>0.08</v>
      </c>
      <c r="AC22" s="45"/>
      <c r="AD22" s="45"/>
      <c r="AE22" s="45"/>
      <c r="AF22" s="155">
        <f t="shared" si="3"/>
        <v>0</v>
      </c>
      <c r="AG22" s="177"/>
      <c r="AH22" s="177"/>
      <c r="AI22" s="177"/>
      <c r="AJ22" s="176"/>
      <c r="AK22" s="175"/>
      <c r="AL22" s="175"/>
      <c r="AM22" s="175"/>
      <c r="AN22" s="175"/>
      <c r="AO22" s="175"/>
      <c r="AP22" s="175"/>
      <c r="AQ22" s="175"/>
      <c r="AR22" s="175"/>
      <c r="AS22" s="175"/>
      <c r="AT22" s="151"/>
    </row>
    <row r="23" spans="4:53" hidden="1">
      <c r="E23" s="91"/>
      <c r="F23" s="45"/>
      <c r="G23" s="45"/>
      <c r="H23" s="45"/>
      <c r="I23" s="164"/>
      <c r="J23" s="174" t="str">
        <f t="shared" si="5"/>
        <v>IS</v>
      </c>
      <c r="K23" s="173" t="str">
        <f>K22</f>
        <v>Contr/Govt</v>
      </c>
      <c r="L23" s="172" t="s">
        <v>145</v>
      </c>
      <c r="M23" s="171">
        <v>0</v>
      </c>
      <c r="N23" s="170">
        <v>1</v>
      </c>
      <c r="O23" s="169">
        <v>0</v>
      </c>
      <c r="P23" s="169">
        <v>0</v>
      </c>
      <c r="Q23" s="165"/>
      <c r="R23" s="165">
        <v>2.9899999999999999E-2</v>
      </c>
      <c r="S23" s="165"/>
      <c r="T23" s="165"/>
      <c r="U23" s="169">
        <v>0</v>
      </c>
      <c r="V23" s="169">
        <v>0</v>
      </c>
      <c r="W23" s="169">
        <v>0</v>
      </c>
      <c r="X23" s="169">
        <v>0</v>
      </c>
      <c r="Y23" s="169">
        <v>0</v>
      </c>
      <c r="Z23" s="165">
        <v>9.2399999999999996E-2</v>
      </c>
      <c r="AA23" s="168"/>
      <c r="AB23" s="167">
        <v>0</v>
      </c>
      <c r="AC23" s="45"/>
      <c r="AD23" s="45"/>
      <c r="AE23" s="45"/>
      <c r="AF23" s="155">
        <f t="shared" si="3"/>
        <v>0</v>
      </c>
      <c r="AG23" s="166"/>
      <c r="AH23" s="166"/>
      <c r="AI23" s="166"/>
      <c r="AJ23" s="165"/>
      <c r="AK23" s="165"/>
      <c r="AL23" s="165"/>
      <c r="AM23" s="165"/>
      <c r="AN23" s="165"/>
      <c r="AO23" s="165"/>
      <c r="AP23" s="165"/>
      <c r="AQ23" s="165"/>
      <c r="AR23" s="165"/>
      <c r="AS23" s="165"/>
      <c r="AT23" s="151"/>
    </row>
    <row r="24" spans="4:53">
      <c r="E24" s="91"/>
      <c r="F24" s="45"/>
      <c r="G24" s="45"/>
      <c r="H24" s="45"/>
      <c r="I24" s="164"/>
      <c r="J24" s="163" t="str">
        <f t="shared" si="5"/>
        <v>IS</v>
      </c>
      <c r="K24" s="162" t="str">
        <f>K23</f>
        <v>Contr/Govt</v>
      </c>
      <c r="L24" s="161" t="s">
        <v>110</v>
      </c>
      <c r="M24" s="160">
        <v>0</v>
      </c>
      <c r="N24" s="159">
        <v>1</v>
      </c>
      <c r="O24" s="158">
        <v>0</v>
      </c>
      <c r="P24" s="158">
        <v>0</v>
      </c>
      <c r="Q24" s="153"/>
      <c r="R24" s="152">
        <f>IF(OR($J$24="MBI - FT",$J$24="MBI - PT"),R23,0)</f>
        <v>0</v>
      </c>
      <c r="S24" s="152"/>
      <c r="T24" s="152"/>
      <c r="U24" s="158">
        <v>0</v>
      </c>
      <c r="V24" s="158">
        <v>0</v>
      </c>
      <c r="W24" s="158">
        <v>0</v>
      </c>
      <c r="X24" s="158">
        <v>0</v>
      </c>
      <c r="Y24" s="158">
        <v>0</v>
      </c>
      <c r="Z24" s="152">
        <v>9.2399999999999996E-2</v>
      </c>
      <c r="AA24" s="157"/>
      <c r="AB24" s="156">
        <f>'Pricing Summary'!C54</f>
        <v>0.08</v>
      </c>
      <c r="AC24" s="45"/>
      <c r="AD24" s="45"/>
      <c r="AE24" s="45"/>
      <c r="AF24" s="155">
        <f t="shared" si="3"/>
        <v>0</v>
      </c>
      <c r="AG24" s="154"/>
      <c r="AH24" s="154"/>
      <c r="AI24" s="154"/>
      <c r="AJ24" s="153"/>
      <c r="AK24" s="152"/>
      <c r="AL24" s="152"/>
      <c r="AM24" s="152"/>
      <c r="AN24" s="152"/>
      <c r="AO24" s="152"/>
      <c r="AP24" s="152"/>
      <c r="AQ24" s="152"/>
      <c r="AR24" s="152"/>
      <c r="AS24" s="152"/>
      <c r="AT24" s="151"/>
    </row>
    <row r="25" spans="4:53">
      <c r="E25" s="91"/>
      <c r="F25" s="45"/>
      <c r="G25" s="45"/>
      <c r="H25" s="45"/>
      <c r="I25" s="45"/>
      <c r="J25" s="85"/>
      <c r="K25" s="85"/>
      <c r="L25" s="85"/>
      <c r="M25" s="85"/>
      <c r="N25" s="85"/>
      <c r="O25" s="85"/>
      <c r="P25" s="85"/>
      <c r="Q25" s="85"/>
      <c r="R25" s="85"/>
      <c r="S25" s="85"/>
      <c r="T25" s="85"/>
      <c r="U25" s="85"/>
      <c r="V25" s="85"/>
      <c r="W25" s="85"/>
      <c r="X25" s="85"/>
      <c r="Y25" s="85"/>
      <c r="Z25" s="85"/>
      <c r="AA25" s="85"/>
      <c r="AB25" s="85"/>
      <c r="AC25" s="45"/>
      <c r="AD25" s="45"/>
      <c r="AE25" s="45"/>
      <c r="AF25" s="90" t="s">
        <v>144</v>
      </c>
      <c r="AG25" s="45"/>
      <c r="AH25" s="45"/>
      <c r="AI25" s="45"/>
      <c r="AJ25" s="45"/>
      <c r="AK25" s="45"/>
      <c r="AL25" s="45"/>
      <c r="AM25" s="45"/>
      <c r="AN25" s="45"/>
      <c r="AO25" s="45"/>
      <c r="AP25" s="45"/>
      <c r="AQ25" s="45"/>
      <c r="AR25" s="45"/>
      <c r="AS25" s="45"/>
      <c r="AT25" s="45"/>
      <c r="AZ25" s="145"/>
      <c r="BA25" s="145"/>
    </row>
    <row r="26" spans="4:53" hidden="1" outlineLevel="1">
      <c r="E26" s="91"/>
      <c r="F26" s="45"/>
      <c r="G26" s="45"/>
      <c r="H26" s="45"/>
      <c r="I26" s="45"/>
      <c r="J26" s="45"/>
      <c r="K26" s="45"/>
      <c r="L26" s="45"/>
      <c r="M26" s="150"/>
      <c r="N26" s="149" t="str">
        <f>M$28&amp;"*"&amp;N$5</f>
        <v>A*B%</v>
      </c>
      <c r="O26" s="149"/>
      <c r="P26" s="149"/>
      <c r="Q26" s="149" t="str">
        <f>N$28&amp;"*"&amp;Q$5</f>
        <v>B*C%</v>
      </c>
      <c r="R26" s="149" t="str">
        <f>"("&amp;N28&amp;"+"&amp;Q$28&amp;")"&amp;"*"&amp;R$5</f>
        <v>(B+C)*D%</v>
      </c>
      <c r="S26" s="149"/>
      <c r="T26" s="149"/>
      <c r="U26" s="149"/>
      <c r="V26" s="149"/>
      <c r="W26" s="149"/>
      <c r="X26" s="149"/>
      <c r="Y26" s="149"/>
      <c r="Z26" s="149" t="str">
        <f>"("&amp;N28&amp;"+"&amp;Q28&amp;"+"&amp;R$28&amp;")"&amp;"*"&amp;Z$5</f>
        <v>(B+C+D)*E%</v>
      </c>
      <c r="AA26" s="149" t="s">
        <v>143</v>
      </c>
      <c r="AB26" s="149" t="str">
        <f>"("&amp;N28&amp;"+"&amp;Q28&amp;"+"&amp;R$28&amp;"+"&amp;Z$28&amp;")"&amp;"*"&amp;AB$5</f>
        <v>(B+C+D+E)*G%</v>
      </c>
      <c r="AC26" s="45"/>
      <c r="AD26" s="45"/>
      <c r="AE26" s="45"/>
      <c r="AF26" s="90"/>
    </row>
    <row r="27" spans="4:53" ht="8.25" hidden="1" customHeight="1" outlineLevel="1">
      <c r="E27" s="91"/>
      <c r="F27" s="45"/>
      <c r="G27" s="45"/>
      <c r="H27" s="45"/>
      <c r="I27" s="45"/>
      <c r="J27" s="45"/>
      <c r="K27" s="45"/>
      <c r="L27" s="45"/>
      <c r="M27" s="148"/>
      <c r="N27" s="147"/>
      <c r="O27" s="147"/>
      <c r="P27" s="147"/>
      <c r="Q27" s="147"/>
      <c r="R27" s="147"/>
      <c r="S27" s="147"/>
      <c r="T27" s="147"/>
      <c r="U27" s="147"/>
      <c r="V27" s="147"/>
      <c r="W27" s="147"/>
      <c r="X27" s="147"/>
      <c r="Y27" s="147"/>
      <c r="Z27" s="147"/>
      <c r="AA27" s="147"/>
      <c r="AB27" s="147"/>
      <c r="AC27" s="45"/>
      <c r="AD27" s="45"/>
      <c r="AE27" s="45"/>
      <c r="AF27" s="90"/>
    </row>
    <row r="28" spans="4:53" hidden="1" outlineLevel="1">
      <c r="E28" s="91"/>
      <c r="F28" s="45"/>
      <c r="G28" s="45"/>
      <c r="H28" s="45"/>
      <c r="I28" s="45"/>
      <c r="J28" s="45"/>
      <c r="K28" s="45"/>
      <c r="L28" s="45"/>
      <c r="M28" s="146" t="s">
        <v>142</v>
      </c>
      <c r="N28" s="146" t="s">
        <v>141</v>
      </c>
      <c r="O28" s="146"/>
      <c r="P28" s="146"/>
      <c r="Q28" s="146" t="s">
        <v>140</v>
      </c>
      <c r="R28" s="146" t="s">
        <v>139</v>
      </c>
      <c r="S28" s="146"/>
      <c r="T28" s="146"/>
      <c r="U28" s="146"/>
      <c r="V28" s="146"/>
      <c r="W28" s="146"/>
      <c r="X28" s="146"/>
      <c r="Y28" s="146"/>
      <c r="Z28" s="146" t="s">
        <v>138</v>
      </c>
      <c r="AA28" s="146" t="s">
        <v>137</v>
      </c>
      <c r="AB28" s="146" t="s">
        <v>136</v>
      </c>
      <c r="AC28" s="45"/>
      <c r="AD28" s="45"/>
      <c r="AE28" s="45"/>
      <c r="AF28" s="90"/>
    </row>
    <row r="29" spans="4:53" collapsed="1">
      <c r="E29" s="91"/>
      <c r="F29" s="45"/>
      <c r="G29" s="45"/>
      <c r="H29" s="45"/>
      <c r="I29" s="45"/>
      <c r="J29" s="45"/>
      <c r="K29" s="45"/>
      <c r="L29" s="45"/>
      <c r="M29" s="45"/>
      <c r="N29" s="45"/>
      <c r="O29" s="45"/>
      <c r="P29" s="45"/>
      <c r="Q29" s="45"/>
      <c r="R29" s="45"/>
      <c r="S29" s="45"/>
      <c r="T29" s="45"/>
      <c r="U29" s="45"/>
      <c r="V29" s="45"/>
      <c r="W29" s="45"/>
      <c r="X29" s="45"/>
      <c r="Y29" s="45"/>
      <c r="Z29" s="45"/>
      <c r="AA29" s="97"/>
      <c r="AB29" s="45"/>
      <c r="AC29" s="45"/>
      <c r="AD29" s="45"/>
      <c r="AE29" s="45"/>
      <c r="AF29" s="90">
        <v>8</v>
      </c>
      <c r="AT29" s="140"/>
      <c r="AU29" s="139"/>
      <c r="AV29" s="140"/>
      <c r="AW29" s="139"/>
      <c r="AZ29" s="145" t="s">
        <v>135</v>
      </c>
      <c r="BA29" s="145" t="s">
        <v>134</v>
      </c>
    </row>
    <row r="30" spans="4:53" ht="13.5" thickBot="1">
      <c r="E30" s="144" t="s">
        <v>133</v>
      </c>
      <c r="F30" s="142"/>
      <c r="G30" s="142" t="s">
        <v>106</v>
      </c>
      <c r="H30" s="45"/>
      <c r="I30" s="142" t="s">
        <v>132</v>
      </c>
      <c r="J30" s="143" t="s">
        <v>131</v>
      </c>
      <c r="K30" s="143" t="s">
        <v>131</v>
      </c>
      <c r="L30" s="142" t="str">
        <f>L8</f>
        <v>Burden Code</v>
      </c>
      <c r="M30" s="139" t="s">
        <v>130</v>
      </c>
      <c r="N30" s="139" t="s">
        <v>129</v>
      </c>
      <c r="O30" s="139" t="str">
        <f>O8</f>
        <v>Hazard</v>
      </c>
      <c r="P30" s="139" t="str">
        <f>P8</f>
        <v>Harship</v>
      </c>
      <c r="Q30" s="139" t="str">
        <f>Q8</f>
        <v>PRB</v>
      </c>
      <c r="R30" s="139" t="str">
        <f>R8</f>
        <v>Overhead</v>
      </c>
      <c r="S30" s="139"/>
      <c r="T30" s="139"/>
      <c r="U30" s="139" t="str">
        <f t="shared" ref="U30:AB30" si="6">U8</f>
        <v>Finders Fee</v>
      </c>
      <c r="V30" s="139" t="str">
        <f t="shared" si="6"/>
        <v>Per Diem</v>
      </c>
      <c r="W30" s="139" t="str">
        <f t="shared" si="6"/>
        <v>War Risk Ins.</v>
      </c>
      <c r="X30" s="139" t="str">
        <f t="shared" si="6"/>
        <v>DBA Ins.</v>
      </c>
      <c r="Y30" s="139" t="str">
        <f t="shared" si="6"/>
        <v>Travel</v>
      </c>
      <c r="Z30" s="139" t="str">
        <f t="shared" si="6"/>
        <v>G&amp;A</v>
      </c>
      <c r="AA30" s="139" t="str">
        <f t="shared" si="6"/>
        <v>Cost</v>
      </c>
      <c r="AB30" s="139" t="str">
        <f t="shared" si="6"/>
        <v>Profit / Fee</v>
      </c>
      <c r="AC30" s="139" t="s">
        <v>186</v>
      </c>
      <c r="AD30" s="139" t="s">
        <v>127</v>
      </c>
      <c r="AE30" s="139" t="s">
        <v>100</v>
      </c>
      <c r="AF30" s="141" t="s">
        <v>126</v>
      </c>
      <c r="AG30" s="140"/>
      <c r="AH30" s="140"/>
      <c r="AI30" s="140"/>
      <c r="AJ30" s="140"/>
      <c r="AK30" s="140"/>
      <c r="AL30" s="140"/>
      <c r="AM30" s="140"/>
      <c r="AN30" s="140"/>
      <c r="AO30" s="140"/>
      <c r="AP30" s="140"/>
      <c r="AQ30" s="140"/>
      <c r="AR30" s="140"/>
      <c r="AS30" s="140"/>
      <c r="AT30" s="140"/>
      <c r="AU30" s="139"/>
      <c r="AV30" s="140"/>
      <c r="AW30" s="139"/>
      <c r="AZ30" s="46">
        <v>1</v>
      </c>
      <c r="BA30" s="46">
        <v>1</v>
      </c>
    </row>
    <row r="31" spans="4:53" s="114" customFormat="1" ht="16.5" thickBot="1">
      <c r="E31" s="122" t="s">
        <v>125</v>
      </c>
      <c r="F31" s="119"/>
      <c r="G31" s="119"/>
      <c r="H31" s="121"/>
      <c r="I31" s="119"/>
      <c r="J31" s="120"/>
      <c r="K31" s="120"/>
      <c r="L31" s="119"/>
      <c r="M31" s="118"/>
      <c r="N31" s="118"/>
      <c r="O31" s="118"/>
      <c r="P31" s="118"/>
      <c r="Q31" s="118"/>
      <c r="R31" s="118"/>
      <c r="S31" s="118"/>
      <c r="T31" s="118"/>
      <c r="U31" s="118"/>
      <c r="V31" s="118"/>
      <c r="W31" s="118"/>
      <c r="X31" s="118"/>
      <c r="Y31" s="118"/>
      <c r="Z31" s="118"/>
      <c r="AA31" s="118"/>
      <c r="AB31" s="118"/>
      <c r="AC31" s="118"/>
      <c r="AD31" s="118"/>
      <c r="AE31" s="118"/>
      <c r="AF31" s="138"/>
      <c r="AG31" s="116"/>
      <c r="AH31" s="116"/>
      <c r="AI31" s="116" t="s">
        <v>124</v>
      </c>
      <c r="AJ31" s="116" t="s">
        <v>123</v>
      </c>
      <c r="AK31" s="116" t="s">
        <v>122</v>
      </c>
      <c r="AL31" s="116"/>
      <c r="AM31" s="116"/>
      <c r="AN31" s="116"/>
      <c r="AO31" s="116"/>
      <c r="AP31" s="116"/>
      <c r="AQ31" s="116"/>
      <c r="AR31" s="116"/>
      <c r="AS31" s="116"/>
      <c r="AT31" s="116"/>
      <c r="AU31" s="116"/>
      <c r="AV31" s="116"/>
      <c r="AW31" s="115"/>
      <c r="AZ31" s="46">
        <v>1</v>
      </c>
      <c r="BA31" s="46">
        <v>1</v>
      </c>
    </row>
    <row r="32" spans="4:53">
      <c r="D32" s="45">
        <v>1</v>
      </c>
      <c r="E32" s="137" t="s">
        <v>230</v>
      </c>
      <c r="F32" s="45"/>
      <c r="G32" s="105" t="s">
        <v>99</v>
      </c>
      <c r="H32" s="45"/>
      <c r="I32" s="136">
        <v>0</v>
      </c>
      <c r="J32" s="135" t="str">
        <f t="shared" ref="J32:J46" si="7">G32&amp;D32&amp;I32&amp;L32</f>
        <v>ManTech10Govt</v>
      </c>
      <c r="K32" s="135"/>
      <c r="L32" s="105" t="s">
        <v>120</v>
      </c>
      <c r="M32" s="127">
        <v>29</v>
      </c>
      <c r="N32" s="127">
        <f t="shared" ref="N32:N46" ca="1" si="8">ROUND($M32*(VLOOKUP($L32,$L$9:$AB$24,N$6,FALSE)),2)</f>
        <v>30.55</v>
      </c>
      <c r="O32" s="127">
        <f t="shared" ref="O32:P46" ca="1" si="9">$N32*(VLOOKUP($L32,$L$9:$AB$24,O$6,FALSE))</f>
        <v>0</v>
      </c>
      <c r="P32" s="127">
        <f t="shared" ca="1" si="9"/>
        <v>0</v>
      </c>
      <c r="Q32" s="127">
        <f t="shared" ref="Q32:Q46" ca="1" si="10">($N32+O32+P32)*(VLOOKUP($L32,$L$9:$AB$24,Q$6,FALSE))</f>
        <v>9.5438200000000002</v>
      </c>
      <c r="R32" s="127">
        <f t="shared" ref="R32:R46" ca="1" si="11">($N32+$Q32+O32+P32)*(VLOOKUP($L32,$L$9:$AB$24,R$6,FALSE))</f>
        <v>0.89409218600000007</v>
      </c>
      <c r="S32" s="127">
        <f t="shared" ref="S32:S37" si="12">$S$10/AD32</f>
        <v>0</v>
      </c>
      <c r="T32" s="127">
        <f t="shared" ref="T32:T37" si="13">$T$10/AD32</f>
        <v>0</v>
      </c>
      <c r="U32" s="127">
        <f t="shared" ref="U32:U37" si="14">(M32*AD32)*$U$10</f>
        <v>0</v>
      </c>
      <c r="V32" s="127">
        <f t="shared" ref="V32:V37" si="15">($V$10/$AF$29)</f>
        <v>27.25</v>
      </c>
      <c r="W32" s="127">
        <f t="shared" ref="W32:W37" si="16">$W$10/AD32</f>
        <v>0</v>
      </c>
      <c r="X32" s="127">
        <f t="shared" ref="X32:X37" ca="1" si="17">N32*$X$10</f>
        <v>0.58045000000000002</v>
      </c>
      <c r="Y32" s="127">
        <f t="shared" ref="Y32:Y37" si="18">$Y$10/AD32</f>
        <v>0</v>
      </c>
      <c r="Z32" s="127">
        <f ca="1">IF($G32="ManTech",(SUM($N32:$Y32)*(VLOOKUP($L32,$L$9:$AB$24,Z$6,FALSE))),(IF(R32=0,((SUM(N32,#REF!))*(VLOOKUP($L32,$L$9:$AB$24,Z$6,FALSE))),(SUM($R32:$R32)*(VLOOKUP($L32,$L$9:$AB$24,Z$6,FALSE))))))</f>
        <v>6.3588166659864003</v>
      </c>
      <c r="AA32" s="127">
        <f t="shared" ref="AA32:AA46" ca="1" si="19">SUM(N32:Z32)</f>
        <v>75.177178851986397</v>
      </c>
      <c r="AB32" s="127">
        <f t="shared" ref="AB32:AB46" ca="1" si="20">(AA32*(VLOOKUP($L32,$L$9:$AB$24,AB$6,FALSE)))</f>
        <v>6.0141743081589123</v>
      </c>
      <c r="AC32" s="127">
        <f t="shared" ref="AC32:AC46" ca="1" si="21">ROUND(SUM(AA32:AB32),2)</f>
        <v>81.19</v>
      </c>
      <c r="AD32" s="104">
        <f t="shared" ref="AD32:AD37" si="22">8*12</f>
        <v>96</v>
      </c>
      <c r="AE32" s="92">
        <f t="shared" ref="AE32:AE46" ca="1" si="23">$AC32*$AD32</f>
        <v>7794.24</v>
      </c>
      <c r="AF32" s="134">
        <f t="shared" ref="AF32:AF37" ca="1" si="24">AC32*$AF$29</f>
        <v>649.52</v>
      </c>
      <c r="AG32" s="78"/>
      <c r="AH32" s="78"/>
      <c r="AI32" s="78">
        <f t="shared" ref="AI32:AI46" ca="1" si="25">AA32*AD32</f>
        <v>7217.0091697906937</v>
      </c>
      <c r="AJ32" s="78">
        <f t="shared" ref="AJ32:AJ46" ca="1" si="26">AC32*AD32</f>
        <v>7794.24</v>
      </c>
      <c r="AK32" s="78">
        <f t="shared" ref="AK32:AK46" ca="1" si="27">AJ32-AI32</f>
        <v>577.23083020930608</v>
      </c>
      <c r="AL32" s="94">
        <f t="shared" ref="AL32:AL46" ca="1" si="28">IF(AK32=0,0,ROUND(AK32/AI32,2))</f>
        <v>0.08</v>
      </c>
      <c r="AM32" s="78"/>
      <c r="AN32" s="78"/>
      <c r="AO32" s="78"/>
      <c r="AP32" s="78"/>
      <c r="AQ32" s="78"/>
      <c r="AR32" s="78"/>
      <c r="AS32" s="78"/>
      <c r="AT32" s="78"/>
      <c r="AU32" s="53"/>
      <c r="AV32" s="52"/>
      <c r="AW32" s="51"/>
      <c r="AZ32" s="46" t="str">
        <f t="shared" ref="AZ32:AZ46" ca="1" si="29">IF((OR((AC32=""),(AC32&gt;0))),"1","0")</f>
        <v>1</v>
      </c>
      <c r="BA32" s="46" t="str">
        <f t="shared" ref="BA32:BA46" ca="1" si="30">IF((OR((AE32=""),(AE32&gt;0))),"1","0")</f>
        <v>1</v>
      </c>
    </row>
    <row r="33" spans="4:53">
      <c r="D33" s="45">
        <f t="shared" ref="D33:D46" si="31">D32+1</f>
        <v>2</v>
      </c>
      <c r="E33" s="137" t="s">
        <v>63</v>
      </c>
      <c r="F33" s="45"/>
      <c r="G33" s="105" t="s">
        <v>99</v>
      </c>
      <c r="H33" s="45"/>
      <c r="I33" s="136">
        <v>0</v>
      </c>
      <c r="J33" s="135" t="str">
        <f t="shared" si="7"/>
        <v>ManTech20Govt</v>
      </c>
      <c r="K33" s="135"/>
      <c r="L33" s="105" t="s">
        <v>120</v>
      </c>
      <c r="M33" s="127">
        <v>33.81</v>
      </c>
      <c r="N33" s="127">
        <f t="shared" ca="1" si="8"/>
        <v>35.619999999999997</v>
      </c>
      <c r="O33" s="127">
        <f t="shared" ca="1" si="9"/>
        <v>0</v>
      </c>
      <c r="P33" s="127">
        <f t="shared" ca="1" si="9"/>
        <v>0</v>
      </c>
      <c r="Q33" s="127">
        <f t="shared" ca="1" si="10"/>
        <v>11.127687999999999</v>
      </c>
      <c r="R33" s="127">
        <f t="shared" ca="1" si="11"/>
        <v>1.0424734423999999</v>
      </c>
      <c r="S33" s="127">
        <f t="shared" si="12"/>
        <v>0</v>
      </c>
      <c r="T33" s="127">
        <f t="shared" si="13"/>
        <v>0</v>
      </c>
      <c r="U33" s="127">
        <f t="shared" si="14"/>
        <v>0</v>
      </c>
      <c r="V33" s="127">
        <f t="shared" si="15"/>
        <v>27.25</v>
      </c>
      <c r="W33" s="127">
        <f t="shared" si="16"/>
        <v>0</v>
      </c>
      <c r="X33" s="127">
        <f t="shared" ca="1" si="17"/>
        <v>0.67677999999999994</v>
      </c>
      <c r="Y33" s="127">
        <f t="shared" si="18"/>
        <v>0</v>
      </c>
      <c r="Z33" s="127">
        <f ca="1">IF($G33="ManTech",(SUM($N33:$Y33)*(VLOOKUP($L33,$L$9:$AB$24,Z$6,FALSE))),(IF(R33=0,((SUM(N33,#REF!))*(VLOOKUP($L33,$L$9:$AB$24,Z$6,FALSE))),(SUM($R33:$R33)*(VLOOKUP($L33,$L$9:$AB$24,Z$6,FALSE))))))</f>
        <v>6.9962453892777594</v>
      </c>
      <c r="AA33" s="127">
        <f t="shared" ca="1" si="19"/>
        <v>82.71318683167776</v>
      </c>
      <c r="AB33" s="127">
        <f t="shared" ca="1" si="20"/>
        <v>6.6170549465342212</v>
      </c>
      <c r="AC33" s="127">
        <f t="shared" ca="1" si="21"/>
        <v>89.33</v>
      </c>
      <c r="AD33" s="104">
        <f t="shared" si="22"/>
        <v>96</v>
      </c>
      <c r="AE33" s="92">
        <f t="shared" ca="1" si="23"/>
        <v>8575.68</v>
      </c>
      <c r="AF33" s="134">
        <f t="shared" ca="1" si="24"/>
        <v>714.64</v>
      </c>
      <c r="AG33" s="78"/>
      <c r="AH33" s="78"/>
      <c r="AI33" s="78">
        <f t="shared" ca="1" si="25"/>
        <v>7940.4659358410645</v>
      </c>
      <c r="AJ33" s="78">
        <f t="shared" ca="1" si="26"/>
        <v>8575.68</v>
      </c>
      <c r="AK33" s="78">
        <f t="shared" ca="1" si="27"/>
        <v>635.2140641589358</v>
      </c>
      <c r="AL33" s="94">
        <f t="shared" ca="1" si="28"/>
        <v>0.08</v>
      </c>
      <c r="AM33" s="78"/>
      <c r="AN33" s="78"/>
      <c r="AO33" s="78"/>
      <c r="AP33" s="78"/>
      <c r="AQ33" s="78"/>
      <c r="AR33" s="78"/>
      <c r="AS33" s="78"/>
      <c r="AT33" s="78"/>
      <c r="AU33" s="53"/>
      <c r="AV33" s="52"/>
      <c r="AW33" s="51"/>
      <c r="AZ33" s="46" t="str">
        <f t="shared" ca="1" si="29"/>
        <v>1</v>
      </c>
      <c r="BA33" s="46" t="str">
        <f t="shared" ca="1" si="30"/>
        <v>1</v>
      </c>
    </row>
    <row r="34" spans="4:53">
      <c r="D34" s="45">
        <f t="shared" si="31"/>
        <v>3</v>
      </c>
      <c r="E34" s="137" t="s">
        <v>63</v>
      </c>
      <c r="F34" s="45"/>
      <c r="G34" s="105" t="s">
        <v>99</v>
      </c>
      <c r="H34" s="45"/>
      <c r="I34" s="136">
        <v>0</v>
      </c>
      <c r="J34" s="135" t="str">
        <f t="shared" si="7"/>
        <v>ManTech30Govt</v>
      </c>
      <c r="K34" s="135"/>
      <c r="L34" s="105" t="s">
        <v>120</v>
      </c>
      <c r="M34" s="127">
        <v>33.81</v>
      </c>
      <c r="N34" s="127">
        <f t="shared" ca="1" si="8"/>
        <v>35.619999999999997</v>
      </c>
      <c r="O34" s="127">
        <f t="shared" ca="1" si="9"/>
        <v>0</v>
      </c>
      <c r="P34" s="127">
        <f t="shared" ca="1" si="9"/>
        <v>0</v>
      </c>
      <c r="Q34" s="127">
        <f t="shared" ca="1" si="10"/>
        <v>11.127687999999999</v>
      </c>
      <c r="R34" s="127">
        <f t="shared" ca="1" si="11"/>
        <v>1.0424734423999999</v>
      </c>
      <c r="S34" s="127">
        <f t="shared" si="12"/>
        <v>0</v>
      </c>
      <c r="T34" s="127">
        <f t="shared" si="13"/>
        <v>0</v>
      </c>
      <c r="U34" s="127">
        <f t="shared" si="14"/>
        <v>0</v>
      </c>
      <c r="V34" s="127">
        <f t="shared" si="15"/>
        <v>27.25</v>
      </c>
      <c r="W34" s="127">
        <f t="shared" si="16"/>
        <v>0</v>
      </c>
      <c r="X34" s="127">
        <f t="shared" ca="1" si="17"/>
        <v>0.67677999999999994</v>
      </c>
      <c r="Y34" s="127">
        <f t="shared" si="18"/>
        <v>0</v>
      </c>
      <c r="Z34" s="127">
        <f ca="1">IF($G34="ManTech",(SUM($N34:$Y34)*(VLOOKUP($L34,$L$9:$AB$24,Z$6,FALSE))),(IF(R34=0,((SUM(N34,#REF!))*(VLOOKUP($L34,$L$9:$AB$24,Z$6,FALSE))),(SUM($R34:$R34)*(VLOOKUP($L34,$L$9:$AB$24,Z$6,FALSE))))))</f>
        <v>6.9962453892777594</v>
      </c>
      <c r="AA34" s="127">
        <f t="shared" ca="1" si="19"/>
        <v>82.71318683167776</v>
      </c>
      <c r="AB34" s="127">
        <f t="shared" ca="1" si="20"/>
        <v>6.6170549465342212</v>
      </c>
      <c r="AC34" s="127">
        <f t="shared" ca="1" si="21"/>
        <v>89.33</v>
      </c>
      <c r="AD34" s="104">
        <f t="shared" si="22"/>
        <v>96</v>
      </c>
      <c r="AE34" s="92">
        <f t="shared" ca="1" si="23"/>
        <v>8575.68</v>
      </c>
      <c r="AF34" s="134">
        <f t="shared" ca="1" si="24"/>
        <v>714.64</v>
      </c>
      <c r="AG34" s="78"/>
      <c r="AH34" s="78"/>
      <c r="AI34" s="78">
        <f t="shared" ca="1" si="25"/>
        <v>7940.4659358410645</v>
      </c>
      <c r="AJ34" s="78">
        <f t="shared" ca="1" si="26"/>
        <v>8575.68</v>
      </c>
      <c r="AK34" s="78">
        <f t="shared" ca="1" si="27"/>
        <v>635.2140641589358</v>
      </c>
      <c r="AL34" s="94">
        <f t="shared" ca="1" si="28"/>
        <v>0.08</v>
      </c>
      <c r="AM34" s="78"/>
      <c r="AN34" s="78"/>
      <c r="AO34" s="78"/>
      <c r="AP34" s="78"/>
      <c r="AQ34" s="78"/>
      <c r="AR34" s="78"/>
      <c r="AS34" s="78"/>
      <c r="AT34" s="78"/>
      <c r="AU34" s="53"/>
      <c r="AV34" s="52"/>
      <c r="AW34" s="51"/>
      <c r="AZ34" s="46" t="str">
        <f t="shared" ca="1" si="29"/>
        <v>1</v>
      </c>
      <c r="BA34" s="46" t="str">
        <f t="shared" ca="1" si="30"/>
        <v>1</v>
      </c>
    </row>
    <row r="35" spans="4:53">
      <c r="D35" s="45">
        <f t="shared" si="31"/>
        <v>4</v>
      </c>
      <c r="E35" s="137" t="s">
        <v>63</v>
      </c>
      <c r="F35" s="45"/>
      <c r="G35" s="105" t="s">
        <v>99</v>
      </c>
      <c r="H35" s="45"/>
      <c r="I35" s="136">
        <v>0</v>
      </c>
      <c r="J35" s="135" t="str">
        <f t="shared" si="7"/>
        <v>ManTech40Govt</v>
      </c>
      <c r="K35" s="135"/>
      <c r="L35" s="105" t="s">
        <v>120</v>
      </c>
      <c r="M35" s="127">
        <v>33.81</v>
      </c>
      <c r="N35" s="127">
        <f t="shared" ca="1" si="8"/>
        <v>35.619999999999997</v>
      </c>
      <c r="O35" s="127">
        <f t="shared" ca="1" si="9"/>
        <v>0</v>
      </c>
      <c r="P35" s="127">
        <f t="shared" ca="1" si="9"/>
        <v>0</v>
      </c>
      <c r="Q35" s="127">
        <f t="shared" ca="1" si="10"/>
        <v>11.127687999999999</v>
      </c>
      <c r="R35" s="127">
        <f t="shared" ca="1" si="11"/>
        <v>1.0424734423999999</v>
      </c>
      <c r="S35" s="127">
        <f t="shared" si="12"/>
        <v>0</v>
      </c>
      <c r="T35" s="127">
        <f t="shared" si="13"/>
        <v>0</v>
      </c>
      <c r="U35" s="127">
        <f t="shared" si="14"/>
        <v>0</v>
      </c>
      <c r="V35" s="127">
        <f t="shared" si="15"/>
        <v>27.25</v>
      </c>
      <c r="W35" s="127">
        <f t="shared" si="16"/>
        <v>0</v>
      </c>
      <c r="X35" s="127">
        <f t="shared" ca="1" si="17"/>
        <v>0.67677999999999994</v>
      </c>
      <c r="Y35" s="127">
        <f t="shared" si="18"/>
        <v>0</v>
      </c>
      <c r="Z35" s="127">
        <f ca="1">IF($G35="ManTech",(SUM($N35:$Y35)*(VLOOKUP($L35,$L$9:$AB$24,Z$6,FALSE))),(IF(R35=0,((SUM(N35,#REF!))*(VLOOKUP($L35,$L$9:$AB$24,Z$6,FALSE))),(SUM($R35:$R35)*(VLOOKUP($L35,$L$9:$AB$24,Z$6,FALSE))))))</f>
        <v>6.9962453892777594</v>
      </c>
      <c r="AA35" s="127">
        <f t="shared" ca="1" si="19"/>
        <v>82.71318683167776</v>
      </c>
      <c r="AB35" s="127">
        <f t="shared" ca="1" si="20"/>
        <v>6.6170549465342212</v>
      </c>
      <c r="AC35" s="127">
        <f t="shared" ca="1" si="21"/>
        <v>89.33</v>
      </c>
      <c r="AD35" s="104">
        <f t="shared" si="22"/>
        <v>96</v>
      </c>
      <c r="AE35" s="92">
        <f t="shared" ca="1" si="23"/>
        <v>8575.68</v>
      </c>
      <c r="AF35" s="134">
        <f t="shared" ca="1" si="24"/>
        <v>714.64</v>
      </c>
      <c r="AG35" s="78"/>
      <c r="AH35" s="78"/>
      <c r="AI35" s="78">
        <f t="shared" ca="1" si="25"/>
        <v>7940.4659358410645</v>
      </c>
      <c r="AJ35" s="78">
        <f t="shared" ca="1" si="26"/>
        <v>8575.68</v>
      </c>
      <c r="AK35" s="78">
        <f t="shared" ca="1" si="27"/>
        <v>635.2140641589358</v>
      </c>
      <c r="AL35" s="94">
        <f t="shared" ca="1" si="28"/>
        <v>0.08</v>
      </c>
      <c r="AM35" s="78"/>
      <c r="AN35" s="78"/>
      <c r="AO35" s="78"/>
      <c r="AP35" s="78"/>
      <c r="AQ35" s="78"/>
      <c r="AR35" s="78"/>
      <c r="AS35" s="78"/>
      <c r="AT35" s="78"/>
      <c r="AU35" s="53"/>
      <c r="AV35" s="52"/>
      <c r="AW35" s="51"/>
      <c r="AZ35" s="46" t="str">
        <f t="shared" ca="1" si="29"/>
        <v>1</v>
      </c>
      <c r="BA35" s="46" t="str">
        <f t="shared" ca="1" si="30"/>
        <v>1</v>
      </c>
    </row>
    <row r="36" spans="4:53">
      <c r="D36" s="45">
        <f t="shared" si="31"/>
        <v>5</v>
      </c>
      <c r="E36" s="137" t="s">
        <v>65</v>
      </c>
      <c r="F36" s="45"/>
      <c r="G36" s="105" t="s">
        <v>99</v>
      </c>
      <c r="H36" s="45"/>
      <c r="I36" s="136">
        <v>0</v>
      </c>
      <c r="J36" s="135" t="str">
        <f t="shared" si="7"/>
        <v>ManTech50Govt</v>
      </c>
      <c r="K36" s="135"/>
      <c r="L36" s="105" t="s">
        <v>120</v>
      </c>
      <c r="M36" s="127">
        <v>26</v>
      </c>
      <c r="N36" s="127">
        <f t="shared" ca="1" si="8"/>
        <v>27.39</v>
      </c>
      <c r="O36" s="127">
        <f t="shared" ca="1" si="9"/>
        <v>0</v>
      </c>
      <c r="P36" s="127">
        <f t="shared" ca="1" si="9"/>
        <v>0</v>
      </c>
      <c r="Q36" s="127">
        <f t="shared" ca="1" si="10"/>
        <v>8.556636000000001</v>
      </c>
      <c r="R36" s="127">
        <f t="shared" ca="1" si="11"/>
        <v>0.80160998279999995</v>
      </c>
      <c r="S36" s="127">
        <f t="shared" si="12"/>
        <v>0</v>
      </c>
      <c r="T36" s="127">
        <f t="shared" si="13"/>
        <v>0</v>
      </c>
      <c r="U36" s="127">
        <f t="shared" si="14"/>
        <v>0</v>
      </c>
      <c r="V36" s="127">
        <f t="shared" si="15"/>
        <v>27.25</v>
      </c>
      <c r="W36" s="127">
        <f t="shared" si="16"/>
        <v>0</v>
      </c>
      <c r="X36" s="127">
        <f t="shared" ca="1" si="17"/>
        <v>0.52041000000000004</v>
      </c>
      <c r="Y36" s="127">
        <f t="shared" si="18"/>
        <v>0</v>
      </c>
      <c r="Z36" s="127">
        <f ca="1">IF($G36="ManTech",(SUM($N36:$Y36)*(VLOOKUP($L36,$L$9:$AB$24,Z$6,FALSE))),(IF(R36=0,((SUM(N36,#REF!))*(VLOOKUP($L36,$L$9:$AB$24,Z$6,FALSE))),(SUM($R36:$R36)*(VLOOKUP($L36,$L$9:$AB$24,Z$6,FALSE))))))</f>
        <v>5.9615238128107197</v>
      </c>
      <c r="AA36" s="127">
        <f t="shared" ca="1" si="19"/>
        <v>70.480179795610724</v>
      </c>
      <c r="AB36" s="127">
        <f t="shared" ca="1" si="20"/>
        <v>5.6384143836488576</v>
      </c>
      <c r="AC36" s="127">
        <f t="shared" ca="1" si="21"/>
        <v>76.12</v>
      </c>
      <c r="AD36" s="104">
        <f t="shared" si="22"/>
        <v>96</v>
      </c>
      <c r="AE36" s="92">
        <f t="shared" ca="1" si="23"/>
        <v>7307.52</v>
      </c>
      <c r="AF36" s="134">
        <f t="shared" ca="1" si="24"/>
        <v>608.96</v>
      </c>
      <c r="AG36" s="78"/>
      <c r="AH36" s="78"/>
      <c r="AI36" s="78">
        <f t="shared" ca="1" si="25"/>
        <v>6766.0972603786295</v>
      </c>
      <c r="AJ36" s="78">
        <f t="shared" ca="1" si="26"/>
        <v>7307.52</v>
      </c>
      <c r="AK36" s="78">
        <f t="shared" ca="1" si="27"/>
        <v>541.42273962137097</v>
      </c>
      <c r="AL36" s="94">
        <f t="shared" ca="1" si="28"/>
        <v>0.08</v>
      </c>
      <c r="AM36" s="78"/>
      <c r="AN36" s="78"/>
      <c r="AO36" s="78"/>
      <c r="AP36" s="78"/>
      <c r="AQ36" s="78"/>
      <c r="AR36" s="78"/>
      <c r="AS36" s="78"/>
      <c r="AT36" s="78"/>
      <c r="AU36" s="53"/>
      <c r="AV36" s="52"/>
      <c r="AW36" s="51"/>
      <c r="AZ36" s="46" t="str">
        <f t="shared" ca="1" si="29"/>
        <v>1</v>
      </c>
      <c r="BA36" s="46" t="str">
        <f t="shared" ca="1" si="30"/>
        <v>1</v>
      </c>
    </row>
    <row r="37" spans="4:53">
      <c r="D37" s="45">
        <f t="shared" si="31"/>
        <v>6</v>
      </c>
      <c r="E37" s="137" t="s">
        <v>65</v>
      </c>
      <c r="F37" s="45"/>
      <c r="G37" s="105" t="s">
        <v>99</v>
      </c>
      <c r="H37" s="45"/>
      <c r="I37" s="136">
        <v>0</v>
      </c>
      <c r="J37" s="135" t="str">
        <f t="shared" si="7"/>
        <v>ManTech60Govt</v>
      </c>
      <c r="K37" s="135"/>
      <c r="L37" s="105" t="s">
        <v>120</v>
      </c>
      <c r="M37" s="127">
        <v>26</v>
      </c>
      <c r="N37" s="127">
        <f t="shared" ca="1" si="8"/>
        <v>27.39</v>
      </c>
      <c r="O37" s="127">
        <f t="shared" ca="1" si="9"/>
        <v>0</v>
      </c>
      <c r="P37" s="127">
        <f t="shared" ca="1" si="9"/>
        <v>0</v>
      </c>
      <c r="Q37" s="127">
        <f t="shared" ca="1" si="10"/>
        <v>8.556636000000001</v>
      </c>
      <c r="R37" s="127">
        <f t="shared" ca="1" si="11"/>
        <v>0.80160998279999995</v>
      </c>
      <c r="S37" s="127">
        <f t="shared" si="12"/>
        <v>0</v>
      </c>
      <c r="T37" s="127">
        <f t="shared" si="13"/>
        <v>0</v>
      </c>
      <c r="U37" s="127">
        <f t="shared" si="14"/>
        <v>0</v>
      </c>
      <c r="V37" s="127">
        <f t="shared" si="15"/>
        <v>27.25</v>
      </c>
      <c r="W37" s="127">
        <f t="shared" si="16"/>
        <v>0</v>
      </c>
      <c r="X37" s="127">
        <f t="shared" ca="1" si="17"/>
        <v>0.52041000000000004</v>
      </c>
      <c r="Y37" s="127">
        <f t="shared" si="18"/>
        <v>0</v>
      </c>
      <c r="Z37" s="127">
        <f ca="1">IF($G37="ManTech",(SUM($N37:$Y37)*(VLOOKUP($L37,$L$9:$AB$24,Z$6,FALSE))),(IF(R37=0,((SUM(N37,#REF!))*(VLOOKUP($L37,$L$9:$AB$24,Z$6,FALSE))),(SUM($R37:$R37)*(VLOOKUP($L37,$L$9:$AB$24,Z$6,FALSE))))))</f>
        <v>5.9615238128107197</v>
      </c>
      <c r="AA37" s="127">
        <f t="shared" ca="1" si="19"/>
        <v>70.480179795610724</v>
      </c>
      <c r="AB37" s="127">
        <f t="shared" ca="1" si="20"/>
        <v>5.6384143836488576</v>
      </c>
      <c r="AC37" s="127">
        <f t="shared" ca="1" si="21"/>
        <v>76.12</v>
      </c>
      <c r="AD37" s="104">
        <f t="shared" si="22"/>
        <v>96</v>
      </c>
      <c r="AE37" s="92">
        <f t="shared" ca="1" si="23"/>
        <v>7307.52</v>
      </c>
      <c r="AF37" s="134">
        <f t="shared" ca="1" si="24"/>
        <v>608.96</v>
      </c>
      <c r="AG37" s="78"/>
      <c r="AH37" s="78"/>
      <c r="AI37" s="78">
        <f t="shared" ca="1" si="25"/>
        <v>6766.0972603786295</v>
      </c>
      <c r="AJ37" s="78">
        <f t="shared" ca="1" si="26"/>
        <v>7307.52</v>
      </c>
      <c r="AK37" s="78">
        <f t="shared" ca="1" si="27"/>
        <v>541.42273962137097</v>
      </c>
      <c r="AL37" s="94">
        <f t="shared" ca="1" si="28"/>
        <v>0.08</v>
      </c>
      <c r="AM37" s="78"/>
      <c r="AN37" s="78"/>
      <c r="AO37" s="78"/>
      <c r="AP37" s="78"/>
      <c r="AQ37" s="78"/>
      <c r="AR37" s="78"/>
      <c r="AS37" s="78"/>
      <c r="AT37" s="78"/>
      <c r="AU37" s="53"/>
      <c r="AV37" s="52"/>
      <c r="AW37" s="51"/>
      <c r="AZ37" s="46" t="str">
        <f t="shared" ca="1" si="29"/>
        <v>1</v>
      </c>
      <c r="BA37" s="46" t="str">
        <f t="shared" ca="1" si="30"/>
        <v>1</v>
      </c>
    </row>
    <row r="38" spans="4:53">
      <c r="D38" s="45">
        <f t="shared" si="31"/>
        <v>7</v>
      </c>
      <c r="E38" s="137" t="s">
        <v>66</v>
      </c>
      <c r="F38" s="45"/>
      <c r="G38" s="105" t="s">
        <v>241</v>
      </c>
      <c r="H38" s="45"/>
      <c r="I38" s="136">
        <v>0</v>
      </c>
      <c r="J38" s="135" t="str">
        <f t="shared" si="7"/>
        <v>Segovia, Inc.70Govt_Sub</v>
      </c>
      <c r="K38" s="135"/>
      <c r="L38" s="105" t="s">
        <v>119</v>
      </c>
      <c r="M38" s="127">
        <v>921</v>
      </c>
      <c r="N38" s="127">
        <f t="shared" ca="1" si="8"/>
        <v>921</v>
      </c>
      <c r="O38" s="127">
        <f t="shared" ca="1" si="9"/>
        <v>0</v>
      </c>
      <c r="P38" s="127">
        <f t="shared" ca="1" si="9"/>
        <v>0</v>
      </c>
      <c r="Q38" s="127">
        <f t="shared" ca="1" si="10"/>
        <v>0</v>
      </c>
      <c r="R38" s="127">
        <f t="shared" ca="1" si="11"/>
        <v>27.5379</v>
      </c>
      <c r="S38" s="127"/>
      <c r="T38" s="127"/>
      <c r="U38" s="127">
        <v>0</v>
      </c>
      <c r="V38" s="127">
        <v>0</v>
      </c>
      <c r="W38" s="127">
        <v>0</v>
      </c>
      <c r="X38" s="127">
        <v>0</v>
      </c>
      <c r="Y38" s="127">
        <v>0</v>
      </c>
      <c r="Z38" s="127">
        <f ca="1">IF($G38="ManTech",(SUM($N38:$Y38)*(VLOOKUP($L38,$L$9:$AB$24,Z$6,FALSE))),(IF(R38=0,((SUM(N38,#REF!))*(VLOOKUP($L38,$L$9:$AB$24,Z$6,FALSE))),(SUM($R38:$R38)*(VLOOKUP($L38,$L$9:$AB$24,Z$6,FALSE))))))</f>
        <v>2.5445019599999998</v>
      </c>
      <c r="AA38" s="127">
        <f t="shared" ca="1" si="19"/>
        <v>951.08240196000008</v>
      </c>
      <c r="AB38" s="127">
        <f t="shared" ca="1" si="20"/>
        <v>76.086592156800009</v>
      </c>
      <c r="AC38" s="127">
        <f t="shared" ca="1" si="21"/>
        <v>1027.17</v>
      </c>
      <c r="AD38" s="104">
        <v>1</v>
      </c>
      <c r="AE38" s="92">
        <f t="shared" ca="1" si="23"/>
        <v>1027.17</v>
      </c>
      <c r="AF38" s="134">
        <f ca="1">AE38</f>
        <v>1027.17</v>
      </c>
      <c r="AG38" s="78"/>
      <c r="AH38" s="78"/>
      <c r="AI38" s="78">
        <f t="shared" ca="1" si="25"/>
        <v>951.08240196000008</v>
      </c>
      <c r="AJ38" s="78">
        <f t="shared" ca="1" si="26"/>
        <v>1027.17</v>
      </c>
      <c r="AK38" s="78">
        <f t="shared" ca="1" si="27"/>
        <v>76.087598039999989</v>
      </c>
      <c r="AL38" s="94">
        <f t="shared" ca="1" si="28"/>
        <v>0.08</v>
      </c>
      <c r="AM38" s="78"/>
      <c r="AN38" s="78"/>
      <c r="AO38" s="78"/>
      <c r="AP38" s="78"/>
      <c r="AQ38" s="78"/>
      <c r="AR38" s="78"/>
      <c r="AS38" s="78"/>
      <c r="AT38" s="78"/>
      <c r="AU38" s="53"/>
      <c r="AV38" s="52"/>
      <c r="AW38" s="51"/>
      <c r="AZ38" s="46" t="str">
        <f t="shared" ca="1" si="29"/>
        <v>1</v>
      </c>
      <c r="BA38" s="46" t="str">
        <f t="shared" ca="1" si="30"/>
        <v>1</v>
      </c>
    </row>
    <row r="39" spans="4:53">
      <c r="D39" s="45">
        <f t="shared" si="31"/>
        <v>8</v>
      </c>
      <c r="E39" s="137" t="s">
        <v>266</v>
      </c>
      <c r="F39" s="45"/>
      <c r="G39" s="105" t="s">
        <v>241</v>
      </c>
      <c r="H39" s="45"/>
      <c r="I39" s="136">
        <v>0</v>
      </c>
      <c r="J39" s="135" t="str">
        <f t="shared" si="7"/>
        <v>Segovia, Inc.80Govt_Sub</v>
      </c>
      <c r="K39" s="135"/>
      <c r="L39" s="105" t="s">
        <v>119</v>
      </c>
      <c r="M39" s="127">
        <v>785</v>
      </c>
      <c r="N39" s="127">
        <f t="shared" ca="1" si="8"/>
        <v>785</v>
      </c>
      <c r="O39" s="127">
        <f t="shared" ca="1" si="9"/>
        <v>0</v>
      </c>
      <c r="P39" s="127">
        <f t="shared" ca="1" si="9"/>
        <v>0</v>
      </c>
      <c r="Q39" s="127">
        <f t="shared" ca="1" si="10"/>
        <v>0</v>
      </c>
      <c r="R39" s="127">
        <f t="shared" ca="1" si="11"/>
        <v>23.471499999999999</v>
      </c>
      <c r="S39" s="127"/>
      <c r="T39" s="127"/>
      <c r="U39" s="127">
        <v>0</v>
      </c>
      <c r="V39" s="127">
        <v>0</v>
      </c>
      <c r="W39" s="127">
        <v>0</v>
      </c>
      <c r="X39" s="127">
        <v>0</v>
      </c>
      <c r="Y39" s="127">
        <v>0</v>
      </c>
      <c r="Z39" s="127">
        <f ca="1">IF($G39="ManTech",(SUM($N39:$Y39)*(VLOOKUP($L39,$L$9:$AB$24,Z$6,FALSE))),(IF(R39=0,((SUM(N39,#REF!))*(VLOOKUP($L39,$L$9:$AB$24,Z$6,FALSE))),(SUM($R39:$R39)*(VLOOKUP($L39,$L$9:$AB$24,Z$6,FALSE))))))</f>
        <v>2.1687665999999997</v>
      </c>
      <c r="AA39" s="127">
        <f t="shared" ca="1" si="19"/>
        <v>810.64026660000002</v>
      </c>
      <c r="AB39" s="127">
        <f t="shared" ca="1" si="20"/>
        <v>64.851221328000008</v>
      </c>
      <c r="AC39" s="127">
        <f t="shared" ca="1" si="21"/>
        <v>875.49</v>
      </c>
      <c r="AD39" s="104">
        <v>1</v>
      </c>
      <c r="AE39" s="92">
        <f t="shared" ca="1" si="23"/>
        <v>875.49</v>
      </c>
      <c r="AF39" s="134">
        <f ca="1">AE39</f>
        <v>875.49</v>
      </c>
      <c r="AG39" s="78"/>
      <c r="AH39" s="78"/>
      <c r="AI39" s="78">
        <f t="shared" ca="1" si="25"/>
        <v>810.64026660000002</v>
      </c>
      <c r="AJ39" s="78">
        <f t="shared" ca="1" si="26"/>
        <v>875.49</v>
      </c>
      <c r="AK39" s="78">
        <f t="shared" ca="1" si="27"/>
        <v>64.849733399999991</v>
      </c>
      <c r="AL39" s="94">
        <f t="shared" ca="1" si="28"/>
        <v>0.08</v>
      </c>
      <c r="AM39" s="78"/>
      <c r="AN39" s="78"/>
      <c r="AO39" s="78"/>
      <c r="AP39" s="78"/>
      <c r="AQ39" s="78"/>
      <c r="AR39" s="78"/>
      <c r="AS39" s="78"/>
      <c r="AT39" s="78"/>
      <c r="AU39" s="53"/>
      <c r="AV39" s="52"/>
      <c r="AW39" s="51"/>
      <c r="AZ39" s="46" t="str">
        <f t="shared" ca="1" si="29"/>
        <v>1</v>
      </c>
      <c r="BA39" s="46" t="str">
        <f t="shared" ca="1" si="30"/>
        <v>1</v>
      </c>
    </row>
    <row r="40" spans="4:53">
      <c r="D40" s="45">
        <f t="shared" si="31"/>
        <v>9</v>
      </c>
      <c r="E40" s="137" t="s">
        <v>74</v>
      </c>
      <c r="F40" s="45"/>
      <c r="G40" s="105" t="s">
        <v>241</v>
      </c>
      <c r="H40" s="45"/>
      <c r="I40" s="136">
        <v>0</v>
      </c>
      <c r="J40" s="135" t="str">
        <f t="shared" si="7"/>
        <v>Segovia, Inc.90Govt_Sub</v>
      </c>
      <c r="K40" s="135"/>
      <c r="L40" s="105" t="s">
        <v>119</v>
      </c>
      <c r="M40" s="127">
        <v>689</v>
      </c>
      <c r="N40" s="127">
        <f t="shared" ca="1" si="8"/>
        <v>689</v>
      </c>
      <c r="O40" s="127">
        <f t="shared" ca="1" si="9"/>
        <v>0</v>
      </c>
      <c r="P40" s="127">
        <f t="shared" ca="1" si="9"/>
        <v>0</v>
      </c>
      <c r="Q40" s="127">
        <f t="shared" ca="1" si="10"/>
        <v>0</v>
      </c>
      <c r="R40" s="127">
        <f t="shared" ca="1" si="11"/>
        <v>20.601099999999999</v>
      </c>
      <c r="S40" s="127"/>
      <c r="T40" s="127"/>
      <c r="U40" s="127">
        <v>0</v>
      </c>
      <c r="V40" s="127">
        <v>0</v>
      </c>
      <c r="W40" s="127">
        <v>0</v>
      </c>
      <c r="X40" s="127">
        <v>0</v>
      </c>
      <c r="Y40" s="127">
        <v>0</v>
      </c>
      <c r="Z40" s="127">
        <f ca="1">IF($G40="ManTech",(SUM($N40:$Y40)*(VLOOKUP($L40,$L$9:$AB$24,Z$6,FALSE))),(IF(R40=0,((SUM(N40,#REF!))*(VLOOKUP($L40,$L$9:$AB$24,Z$6,FALSE))),(SUM($R40:$R40)*(VLOOKUP($L40,$L$9:$AB$24,Z$6,FALSE))))))</f>
        <v>1.9035416399999998</v>
      </c>
      <c r="AA40" s="127">
        <f t="shared" ca="1" si="19"/>
        <v>711.50464163999993</v>
      </c>
      <c r="AB40" s="127">
        <f t="shared" ca="1" si="20"/>
        <v>56.920371331199995</v>
      </c>
      <c r="AC40" s="127">
        <f t="shared" ca="1" si="21"/>
        <v>768.43</v>
      </c>
      <c r="AD40" s="104">
        <v>1</v>
      </c>
      <c r="AE40" s="92">
        <f t="shared" ca="1" si="23"/>
        <v>768.43</v>
      </c>
      <c r="AF40" s="134">
        <f ca="1">AE40</f>
        <v>768.43</v>
      </c>
      <c r="AG40" s="78"/>
      <c r="AH40" s="78"/>
      <c r="AI40" s="78">
        <f t="shared" ca="1" si="25"/>
        <v>711.50464163999993</v>
      </c>
      <c r="AJ40" s="78">
        <f t="shared" ca="1" si="26"/>
        <v>768.43</v>
      </c>
      <c r="AK40" s="78">
        <f t="shared" ca="1" si="27"/>
        <v>56.925358360000018</v>
      </c>
      <c r="AL40" s="94">
        <f t="shared" ca="1" si="28"/>
        <v>0.08</v>
      </c>
      <c r="AM40" s="78"/>
      <c r="AN40" s="78"/>
      <c r="AO40" s="78"/>
      <c r="AP40" s="78"/>
      <c r="AQ40" s="78"/>
      <c r="AR40" s="78"/>
      <c r="AS40" s="78"/>
      <c r="AT40" s="78"/>
      <c r="AU40" s="53"/>
      <c r="AV40" s="52"/>
      <c r="AW40" s="51"/>
      <c r="AZ40" s="46" t="str">
        <f t="shared" ca="1" si="29"/>
        <v>1</v>
      </c>
      <c r="BA40" s="46" t="str">
        <f t="shared" ca="1" si="30"/>
        <v>1</v>
      </c>
    </row>
    <row r="41" spans="4:53">
      <c r="D41" s="45">
        <f t="shared" si="31"/>
        <v>10</v>
      </c>
      <c r="E41" s="137" t="s">
        <v>74</v>
      </c>
      <c r="F41" s="45"/>
      <c r="G41" s="105" t="s">
        <v>241</v>
      </c>
      <c r="H41" s="45"/>
      <c r="I41" s="136">
        <v>0</v>
      </c>
      <c r="J41" s="135" t="str">
        <f t="shared" si="7"/>
        <v>Segovia, Inc.100Govt_Sub</v>
      </c>
      <c r="K41" s="135"/>
      <c r="L41" s="105" t="s">
        <v>119</v>
      </c>
      <c r="M41" s="127">
        <v>689</v>
      </c>
      <c r="N41" s="127">
        <f t="shared" ca="1" si="8"/>
        <v>689</v>
      </c>
      <c r="O41" s="127">
        <f t="shared" ca="1" si="9"/>
        <v>0</v>
      </c>
      <c r="P41" s="127">
        <f t="shared" ca="1" si="9"/>
        <v>0</v>
      </c>
      <c r="Q41" s="127">
        <f t="shared" ca="1" si="10"/>
        <v>0</v>
      </c>
      <c r="R41" s="127">
        <f t="shared" ca="1" si="11"/>
        <v>20.601099999999999</v>
      </c>
      <c r="S41" s="127"/>
      <c r="T41" s="127"/>
      <c r="U41" s="127">
        <v>0</v>
      </c>
      <c r="V41" s="127">
        <v>0</v>
      </c>
      <c r="W41" s="127">
        <v>0</v>
      </c>
      <c r="X41" s="127">
        <v>0</v>
      </c>
      <c r="Y41" s="127">
        <v>0</v>
      </c>
      <c r="Z41" s="127">
        <f ca="1">IF($G41="ManTech",(SUM($N41:$Y41)*(VLOOKUP($L41,$L$9:$AB$24,Z$6,FALSE))),(IF(R41=0,((SUM(N41,#REF!))*(VLOOKUP($L41,$L$9:$AB$24,Z$6,FALSE))),(SUM($R41:$R41)*(VLOOKUP($L41,$L$9:$AB$24,Z$6,FALSE))))))</f>
        <v>1.9035416399999998</v>
      </c>
      <c r="AA41" s="127">
        <f t="shared" ca="1" si="19"/>
        <v>711.50464163999993</v>
      </c>
      <c r="AB41" s="127">
        <f t="shared" ca="1" si="20"/>
        <v>56.920371331199995</v>
      </c>
      <c r="AC41" s="127">
        <f t="shared" ca="1" si="21"/>
        <v>768.43</v>
      </c>
      <c r="AD41" s="104">
        <v>1</v>
      </c>
      <c r="AE41" s="92">
        <f t="shared" ca="1" si="23"/>
        <v>768.43</v>
      </c>
      <c r="AF41" s="134">
        <f ca="1">AE41</f>
        <v>768.43</v>
      </c>
      <c r="AG41" s="78"/>
      <c r="AH41" s="78"/>
      <c r="AI41" s="78">
        <f t="shared" ca="1" si="25"/>
        <v>711.50464163999993</v>
      </c>
      <c r="AJ41" s="78">
        <f t="shared" ca="1" si="26"/>
        <v>768.43</v>
      </c>
      <c r="AK41" s="78">
        <f t="shared" ca="1" si="27"/>
        <v>56.925358360000018</v>
      </c>
      <c r="AL41" s="94">
        <f t="shared" ca="1" si="28"/>
        <v>0.08</v>
      </c>
      <c r="AM41" s="78"/>
      <c r="AN41" s="78"/>
      <c r="AO41" s="78"/>
      <c r="AP41" s="78"/>
      <c r="AQ41" s="78"/>
      <c r="AR41" s="78"/>
      <c r="AS41" s="78"/>
      <c r="AT41" s="78"/>
      <c r="AU41" s="53"/>
      <c r="AV41" s="52"/>
      <c r="AW41" s="51"/>
      <c r="AZ41" s="46" t="str">
        <f t="shared" ca="1" si="29"/>
        <v>1</v>
      </c>
      <c r="BA41" s="46" t="str">
        <f t="shared" ca="1" si="30"/>
        <v>1</v>
      </c>
    </row>
    <row r="42" spans="4:53">
      <c r="D42" s="45">
        <f t="shared" si="31"/>
        <v>11</v>
      </c>
      <c r="E42" s="137" t="s">
        <v>75</v>
      </c>
      <c r="F42" s="45"/>
      <c r="G42" s="105" t="s">
        <v>99</v>
      </c>
      <c r="H42" s="45"/>
      <c r="I42" s="136">
        <v>0</v>
      </c>
      <c r="J42" s="135" t="str">
        <f t="shared" si="7"/>
        <v>ManTech110Govt</v>
      </c>
      <c r="K42" s="135"/>
      <c r="L42" s="105" t="s">
        <v>120</v>
      </c>
      <c r="M42" s="127">
        <v>27.5</v>
      </c>
      <c r="N42" s="127">
        <f t="shared" ca="1" si="8"/>
        <v>28.97</v>
      </c>
      <c r="O42" s="127">
        <f t="shared" ca="1" si="9"/>
        <v>0</v>
      </c>
      <c r="P42" s="127">
        <f t="shared" ca="1" si="9"/>
        <v>0</v>
      </c>
      <c r="Q42" s="127">
        <f t="shared" ca="1" si="10"/>
        <v>9.0502280000000006</v>
      </c>
      <c r="R42" s="127">
        <f t="shared" ca="1" si="11"/>
        <v>0.84785108440000012</v>
      </c>
      <c r="S42" s="127">
        <f>$S$10/AD42</f>
        <v>0</v>
      </c>
      <c r="T42" s="127">
        <f>$T$10/AD42</f>
        <v>0</v>
      </c>
      <c r="U42" s="127">
        <f>(M42*AD42)*$U$10</f>
        <v>0</v>
      </c>
      <c r="V42" s="127">
        <f>($V$10/$AF$29)</f>
        <v>27.25</v>
      </c>
      <c r="W42" s="127">
        <f>$W$10/AD42</f>
        <v>0</v>
      </c>
      <c r="X42" s="127">
        <f ca="1">N42*$X$10</f>
        <v>0.55042999999999997</v>
      </c>
      <c r="Y42" s="127">
        <f>$Y$10/AD42</f>
        <v>0</v>
      </c>
      <c r="Z42" s="127">
        <f ca="1">IF($G42="ManTech",(SUM($N42:$Y42)*(VLOOKUP($L42,$L$9:$AB$24,Z$6,FALSE))),(IF(R42=0,((SUM(N42,#REF!))*(VLOOKUP($L42,$L$9:$AB$24,Z$6,FALSE))),(SUM($R42:$R42)*(VLOOKUP($L42,$L$9:$AB$24,Z$6,FALSE))))))</f>
        <v>6.1601702393985596</v>
      </c>
      <c r="AA42" s="127">
        <f t="shared" ca="1" si="19"/>
        <v>72.828679323798553</v>
      </c>
      <c r="AB42" s="127">
        <f t="shared" ca="1" si="20"/>
        <v>5.8262943459038841</v>
      </c>
      <c r="AC42" s="127">
        <f t="shared" ca="1" si="21"/>
        <v>78.650000000000006</v>
      </c>
      <c r="AD42" s="104">
        <f>8*12</f>
        <v>96</v>
      </c>
      <c r="AE42" s="92">
        <f t="shared" ca="1" si="23"/>
        <v>7550.4000000000005</v>
      </c>
      <c r="AF42" s="134">
        <f ca="1">AC42*$AF$29</f>
        <v>629.20000000000005</v>
      </c>
      <c r="AG42" s="78"/>
      <c r="AH42" s="78"/>
      <c r="AI42" s="78">
        <f t="shared" ca="1" si="25"/>
        <v>6991.5532150846611</v>
      </c>
      <c r="AJ42" s="78">
        <f t="shared" ca="1" si="26"/>
        <v>7550.4000000000005</v>
      </c>
      <c r="AK42" s="78">
        <f t="shared" ca="1" si="27"/>
        <v>558.84678491533941</v>
      </c>
      <c r="AL42" s="94">
        <f t="shared" ca="1" si="28"/>
        <v>0.08</v>
      </c>
      <c r="AM42" s="78"/>
      <c r="AN42" s="78"/>
      <c r="AO42" s="78"/>
      <c r="AP42" s="78"/>
      <c r="AQ42" s="78"/>
      <c r="AR42" s="78"/>
      <c r="AS42" s="78"/>
      <c r="AT42" s="78"/>
      <c r="AU42" s="53"/>
      <c r="AV42" s="52"/>
      <c r="AW42" s="51"/>
      <c r="AZ42" s="46" t="str">
        <f t="shared" ca="1" si="29"/>
        <v>1</v>
      </c>
      <c r="BA42" s="46" t="str">
        <f t="shared" ca="1" si="30"/>
        <v>1</v>
      </c>
    </row>
    <row r="43" spans="4:53">
      <c r="D43" s="45">
        <f t="shared" si="31"/>
        <v>12</v>
      </c>
      <c r="E43" s="137" t="s">
        <v>76</v>
      </c>
      <c r="F43" s="45"/>
      <c r="G43" s="105" t="s">
        <v>99</v>
      </c>
      <c r="H43" s="45"/>
      <c r="I43" s="136">
        <v>0</v>
      </c>
      <c r="J43" s="135" t="str">
        <f t="shared" si="7"/>
        <v>ManTech120Govt</v>
      </c>
      <c r="K43" s="135"/>
      <c r="L43" s="105" t="s">
        <v>120</v>
      </c>
      <c r="M43" s="127">
        <v>28</v>
      </c>
      <c r="N43" s="127">
        <f t="shared" ca="1" si="8"/>
        <v>29.5</v>
      </c>
      <c r="O43" s="127">
        <f t="shared" ca="1" si="9"/>
        <v>0</v>
      </c>
      <c r="P43" s="127">
        <f t="shared" ca="1" si="9"/>
        <v>0</v>
      </c>
      <c r="Q43" s="127">
        <f t="shared" ca="1" si="10"/>
        <v>9.2157999999999998</v>
      </c>
      <c r="R43" s="127">
        <f t="shared" ca="1" si="11"/>
        <v>0.86336234000000001</v>
      </c>
      <c r="S43" s="127">
        <f>$S$10/AD43</f>
        <v>0</v>
      </c>
      <c r="T43" s="127">
        <f>$T$10/AD43</f>
        <v>0</v>
      </c>
      <c r="U43" s="127">
        <f>(M43*AD43)*$U$10</f>
        <v>0</v>
      </c>
      <c r="V43" s="127">
        <f>($V$10/$AF$29)</f>
        <v>27.25</v>
      </c>
      <c r="W43" s="127">
        <f>$W$10/AD43</f>
        <v>0</v>
      </c>
      <c r="X43" s="127">
        <f ca="1">N43*$X$10</f>
        <v>0.5605</v>
      </c>
      <c r="Y43" s="127">
        <f>$Y$10/AD43</f>
        <v>0</v>
      </c>
      <c r="Z43" s="127">
        <f ca="1">IF($G43="ManTech",(SUM($N43:$Y43)*(VLOOKUP($L43,$L$9:$AB$24,Z$6,FALSE))),(IF(R43=0,((SUM(N43,#REF!))*(VLOOKUP($L43,$L$9:$AB$24,Z$6,FALSE))),(SUM($R43:$R43)*(VLOOKUP($L43,$L$9:$AB$24,Z$6,FALSE))))))</f>
        <v>6.2268048002160015</v>
      </c>
      <c r="AA43" s="127">
        <f t="shared" ca="1" si="19"/>
        <v>73.616467140216017</v>
      </c>
      <c r="AB43" s="127">
        <f t="shared" ca="1" si="20"/>
        <v>5.889317371217281</v>
      </c>
      <c r="AC43" s="127">
        <f t="shared" ca="1" si="21"/>
        <v>79.510000000000005</v>
      </c>
      <c r="AD43" s="104">
        <f>8*12</f>
        <v>96</v>
      </c>
      <c r="AE43" s="92">
        <f t="shared" ca="1" si="23"/>
        <v>7632.9600000000009</v>
      </c>
      <c r="AF43" s="134">
        <f ca="1">AC43*$AF$29</f>
        <v>636.08000000000004</v>
      </c>
      <c r="AG43" s="78"/>
      <c r="AH43" s="78"/>
      <c r="AI43" s="78">
        <f t="shared" ca="1" si="25"/>
        <v>7067.1808454607381</v>
      </c>
      <c r="AJ43" s="78">
        <f t="shared" ca="1" si="26"/>
        <v>7632.9600000000009</v>
      </c>
      <c r="AK43" s="78">
        <f t="shared" ca="1" si="27"/>
        <v>565.77915453926289</v>
      </c>
      <c r="AL43" s="94">
        <f t="shared" ca="1" si="28"/>
        <v>0.08</v>
      </c>
      <c r="AM43" s="78"/>
      <c r="AN43" s="78"/>
      <c r="AO43" s="78"/>
      <c r="AP43" s="78"/>
      <c r="AQ43" s="78"/>
      <c r="AR43" s="78"/>
      <c r="AS43" s="78"/>
      <c r="AT43" s="78"/>
      <c r="AU43" s="53"/>
      <c r="AV43" s="52"/>
      <c r="AW43" s="51"/>
      <c r="AZ43" s="46" t="str">
        <f t="shared" ca="1" si="29"/>
        <v>1</v>
      </c>
      <c r="BA43" s="46" t="str">
        <f t="shared" ca="1" si="30"/>
        <v>1</v>
      </c>
    </row>
    <row r="44" spans="4:53">
      <c r="D44" s="45">
        <f t="shared" si="31"/>
        <v>13</v>
      </c>
      <c r="E44" s="137" t="s">
        <v>77</v>
      </c>
      <c r="F44" s="45"/>
      <c r="G44" s="105" t="s">
        <v>99</v>
      </c>
      <c r="H44" s="45"/>
      <c r="I44" s="136">
        <v>0</v>
      </c>
      <c r="J44" s="135" t="str">
        <f t="shared" si="7"/>
        <v>ManTech130Govt</v>
      </c>
      <c r="K44" s="135"/>
      <c r="L44" s="105" t="s">
        <v>120</v>
      </c>
      <c r="M44" s="127">
        <v>26</v>
      </c>
      <c r="N44" s="127">
        <f t="shared" ca="1" si="8"/>
        <v>27.39</v>
      </c>
      <c r="O44" s="127">
        <f t="shared" ca="1" si="9"/>
        <v>0</v>
      </c>
      <c r="P44" s="127">
        <f t="shared" ca="1" si="9"/>
        <v>0</v>
      </c>
      <c r="Q44" s="127">
        <f t="shared" ca="1" si="10"/>
        <v>8.556636000000001</v>
      </c>
      <c r="R44" s="127">
        <f t="shared" ca="1" si="11"/>
        <v>0.80160998279999995</v>
      </c>
      <c r="S44" s="127">
        <f>$S$10/AD44</f>
        <v>0</v>
      </c>
      <c r="T44" s="127">
        <f>$T$10/AD44</f>
        <v>0</v>
      </c>
      <c r="U44" s="127">
        <f>(M44*AD44)*$U$10</f>
        <v>0</v>
      </c>
      <c r="V44" s="127">
        <f>($V$10/$AF$29)</f>
        <v>27.25</v>
      </c>
      <c r="W44" s="127">
        <f>$W$10/AD44</f>
        <v>0</v>
      </c>
      <c r="X44" s="127">
        <f ca="1">N44*$X$10</f>
        <v>0.52041000000000004</v>
      </c>
      <c r="Y44" s="127">
        <f>$Y$10/AD44</f>
        <v>0</v>
      </c>
      <c r="Z44" s="127">
        <f ca="1">IF($G44="ManTech",(SUM($N44:$Y44)*(VLOOKUP($L44,$L$9:$AB$24,Z$6,FALSE))),(IF(R44=0,((SUM(N44,#REF!))*(VLOOKUP($L44,$L$9:$AB$24,Z$6,FALSE))),(SUM($R44:$R44)*(VLOOKUP($L44,$L$9:$AB$24,Z$6,FALSE))))))</f>
        <v>5.9615238128107197</v>
      </c>
      <c r="AA44" s="127">
        <f t="shared" ca="1" si="19"/>
        <v>70.480179795610724</v>
      </c>
      <c r="AB44" s="127">
        <f t="shared" ca="1" si="20"/>
        <v>5.6384143836488576</v>
      </c>
      <c r="AC44" s="127">
        <f t="shared" ca="1" si="21"/>
        <v>76.12</v>
      </c>
      <c r="AD44" s="104">
        <f>8*12</f>
        <v>96</v>
      </c>
      <c r="AE44" s="92">
        <f t="shared" ca="1" si="23"/>
        <v>7307.52</v>
      </c>
      <c r="AF44" s="134">
        <f ca="1">AC44*$AF$29</f>
        <v>608.96</v>
      </c>
      <c r="AG44" s="78"/>
      <c r="AH44" s="78"/>
      <c r="AI44" s="78">
        <f t="shared" ca="1" si="25"/>
        <v>6766.0972603786295</v>
      </c>
      <c r="AJ44" s="78">
        <f t="shared" ca="1" si="26"/>
        <v>7307.52</v>
      </c>
      <c r="AK44" s="78">
        <f t="shared" ca="1" si="27"/>
        <v>541.42273962137097</v>
      </c>
      <c r="AL44" s="94">
        <f t="shared" ca="1" si="28"/>
        <v>0.08</v>
      </c>
      <c r="AM44" s="78"/>
      <c r="AN44" s="78"/>
      <c r="AO44" s="78"/>
      <c r="AP44" s="78"/>
      <c r="AQ44" s="78"/>
      <c r="AR44" s="78"/>
      <c r="AS44" s="78"/>
      <c r="AT44" s="78"/>
      <c r="AU44" s="53"/>
      <c r="AV44" s="52"/>
      <c r="AW44" s="51"/>
      <c r="AZ44" s="46" t="str">
        <f t="shared" ca="1" si="29"/>
        <v>1</v>
      </c>
      <c r="BA44" s="46" t="str">
        <f t="shared" ca="1" si="30"/>
        <v>1</v>
      </c>
    </row>
    <row r="45" spans="4:53">
      <c r="D45" s="45">
        <f t="shared" si="31"/>
        <v>14</v>
      </c>
      <c r="E45" s="137" t="s">
        <v>78</v>
      </c>
      <c r="F45" s="45"/>
      <c r="G45" s="105" t="s">
        <v>99</v>
      </c>
      <c r="H45" s="45"/>
      <c r="I45" s="136">
        <v>0</v>
      </c>
      <c r="J45" s="135" t="str">
        <f t="shared" si="7"/>
        <v>ManTech140Govt</v>
      </c>
      <c r="K45" s="135"/>
      <c r="L45" s="105" t="s">
        <v>120</v>
      </c>
      <c r="M45" s="127">
        <v>26</v>
      </c>
      <c r="N45" s="127">
        <f t="shared" ca="1" si="8"/>
        <v>27.39</v>
      </c>
      <c r="O45" s="127">
        <f t="shared" ca="1" si="9"/>
        <v>0</v>
      </c>
      <c r="P45" s="127">
        <f t="shared" ca="1" si="9"/>
        <v>0</v>
      </c>
      <c r="Q45" s="127">
        <f t="shared" ca="1" si="10"/>
        <v>8.556636000000001</v>
      </c>
      <c r="R45" s="127">
        <f t="shared" ca="1" si="11"/>
        <v>0.80160998279999995</v>
      </c>
      <c r="S45" s="127">
        <f>$S$10/AD45</f>
        <v>0</v>
      </c>
      <c r="T45" s="127">
        <f>$T$10/AD45</f>
        <v>0</v>
      </c>
      <c r="U45" s="127">
        <f>(M45*AD45)*$U$10</f>
        <v>0</v>
      </c>
      <c r="V45" s="127">
        <f>($V$10/$AF$29)</f>
        <v>27.25</v>
      </c>
      <c r="W45" s="127">
        <f>$W$10/AD45</f>
        <v>0</v>
      </c>
      <c r="X45" s="127">
        <f ca="1">N45*$X$10</f>
        <v>0.52041000000000004</v>
      </c>
      <c r="Y45" s="127">
        <f>$Y$10/AD45</f>
        <v>0</v>
      </c>
      <c r="Z45" s="127">
        <f ca="1">IF($G45="ManTech",(SUM($N45:$Y45)*(VLOOKUP($L45,$L$9:$AB$24,Z$6,FALSE))),(IF(R45=0,((SUM(N45,#REF!))*(VLOOKUP($L45,$L$9:$AB$24,Z$6,FALSE))),(SUM($R45:$R45)*(VLOOKUP($L45,$L$9:$AB$24,Z$6,FALSE))))))</f>
        <v>5.9615238128107197</v>
      </c>
      <c r="AA45" s="127">
        <f t="shared" ca="1" si="19"/>
        <v>70.480179795610724</v>
      </c>
      <c r="AB45" s="127">
        <f t="shared" ca="1" si="20"/>
        <v>5.6384143836488576</v>
      </c>
      <c r="AC45" s="127">
        <f t="shared" ca="1" si="21"/>
        <v>76.12</v>
      </c>
      <c r="AD45" s="104">
        <f>8*12</f>
        <v>96</v>
      </c>
      <c r="AE45" s="92">
        <f t="shared" ca="1" si="23"/>
        <v>7307.52</v>
      </c>
      <c r="AF45" s="134">
        <f ca="1">AC45*$AF$29</f>
        <v>608.96</v>
      </c>
      <c r="AG45" s="78"/>
      <c r="AH45" s="78"/>
      <c r="AI45" s="78">
        <f t="shared" ca="1" si="25"/>
        <v>6766.0972603786295</v>
      </c>
      <c r="AJ45" s="78">
        <f t="shared" ca="1" si="26"/>
        <v>7307.52</v>
      </c>
      <c r="AK45" s="78">
        <f t="shared" ca="1" si="27"/>
        <v>541.42273962137097</v>
      </c>
      <c r="AL45" s="94">
        <f t="shared" ca="1" si="28"/>
        <v>0.08</v>
      </c>
      <c r="AM45" s="78"/>
      <c r="AN45" s="78"/>
      <c r="AO45" s="78"/>
      <c r="AP45" s="78"/>
      <c r="AQ45" s="78"/>
      <c r="AR45" s="78"/>
      <c r="AS45" s="78"/>
      <c r="AT45" s="78"/>
      <c r="AU45" s="53"/>
      <c r="AV45" s="52"/>
      <c r="AW45" s="51"/>
      <c r="AZ45" s="46" t="str">
        <f t="shared" ca="1" si="29"/>
        <v>1</v>
      </c>
      <c r="BA45" s="46" t="str">
        <f t="shared" ca="1" si="30"/>
        <v>1</v>
      </c>
    </row>
    <row r="46" spans="4:53">
      <c r="D46" s="45">
        <f t="shared" si="31"/>
        <v>15</v>
      </c>
      <c r="E46" s="137" t="s">
        <v>79</v>
      </c>
      <c r="F46" s="45"/>
      <c r="G46" s="105" t="s">
        <v>99</v>
      </c>
      <c r="H46" s="45"/>
      <c r="I46" s="136">
        <v>0</v>
      </c>
      <c r="J46" s="135" t="str">
        <f t="shared" si="7"/>
        <v>ManTech150Govt</v>
      </c>
      <c r="K46" s="135"/>
      <c r="L46" s="105" t="s">
        <v>120</v>
      </c>
      <c r="M46" s="127">
        <v>25</v>
      </c>
      <c r="N46" s="127">
        <f t="shared" ca="1" si="8"/>
        <v>26.34</v>
      </c>
      <c r="O46" s="127">
        <f t="shared" ca="1" si="9"/>
        <v>0</v>
      </c>
      <c r="P46" s="127">
        <f t="shared" ca="1" si="9"/>
        <v>0</v>
      </c>
      <c r="Q46" s="127">
        <f t="shared" ca="1" si="10"/>
        <v>8.2286160000000006</v>
      </c>
      <c r="R46" s="127">
        <f t="shared" ca="1" si="11"/>
        <v>0.7708801368</v>
      </c>
      <c r="S46" s="127">
        <f>$S$10/AD46</f>
        <v>0</v>
      </c>
      <c r="T46" s="127">
        <f>$T$10/AD46</f>
        <v>0</v>
      </c>
      <c r="U46" s="127">
        <f>(M46*AD46)*$U$10</f>
        <v>0</v>
      </c>
      <c r="V46" s="127">
        <f>($V$10/$AF$29)</f>
        <v>27.25</v>
      </c>
      <c r="W46" s="127">
        <f>$W$10/AD46</f>
        <v>0</v>
      </c>
      <c r="X46" s="127">
        <f ca="1">N46*$X$10</f>
        <v>0.50046000000000002</v>
      </c>
      <c r="Y46" s="127">
        <f>$Y$10/AD46</f>
        <v>0</v>
      </c>
      <c r="Z46" s="127">
        <f ca="1">IF($G46="ManTech",(SUM($N46:$Y46)*(VLOOKUP($L46,$L$9:$AB$24,Z$6,FALSE))),(IF(R46=0,((SUM(N46,#REF!))*(VLOOKUP($L46,$L$9:$AB$24,Z$6,FALSE))),(SUM($R46:$R46)*(VLOOKUP($L46,$L$9:$AB$24,Z$6,FALSE))))))</f>
        <v>5.8295119470403192</v>
      </c>
      <c r="AA46" s="127">
        <f t="shared" ca="1" si="19"/>
        <v>68.919468083840314</v>
      </c>
      <c r="AB46" s="127">
        <f t="shared" ca="1" si="20"/>
        <v>5.5135574467072255</v>
      </c>
      <c r="AC46" s="127">
        <f t="shared" ca="1" si="21"/>
        <v>74.430000000000007</v>
      </c>
      <c r="AD46" s="104">
        <f>8*12</f>
        <v>96</v>
      </c>
      <c r="AE46" s="92">
        <f t="shared" ca="1" si="23"/>
        <v>7145.2800000000007</v>
      </c>
      <c r="AF46" s="134">
        <f ca="1">AC46*$AF$29</f>
        <v>595.44000000000005</v>
      </c>
      <c r="AG46" s="78"/>
      <c r="AH46" s="78"/>
      <c r="AI46" s="78">
        <f t="shared" ca="1" si="25"/>
        <v>6616.2689360486702</v>
      </c>
      <c r="AJ46" s="78">
        <f t="shared" ca="1" si="26"/>
        <v>7145.2800000000007</v>
      </c>
      <c r="AK46" s="78">
        <f t="shared" ca="1" si="27"/>
        <v>529.01106395133047</v>
      </c>
      <c r="AL46" s="94">
        <f t="shared" ca="1" si="28"/>
        <v>0.08</v>
      </c>
      <c r="AM46" s="78"/>
      <c r="AN46" s="78"/>
      <c r="AO46" s="78"/>
      <c r="AP46" s="78"/>
      <c r="AQ46" s="78"/>
      <c r="AR46" s="78"/>
      <c r="AS46" s="78"/>
      <c r="AT46" s="78"/>
      <c r="AU46" s="53"/>
      <c r="AV46" s="52"/>
      <c r="AW46" s="51"/>
      <c r="AZ46" s="46" t="str">
        <f t="shared" ca="1" si="29"/>
        <v>1</v>
      </c>
      <c r="BA46" s="46" t="str">
        <f t="shared" ca="1" si="30"/>
        <v>1</v>
      </c>
    </row>
    <row r="47" spans="4:53">
      <c r="E47" s="137"/>
      <c r="F47" s="45"/>
      <c r="G47" s="105"/>
      <c r="H47" s="45"/>
      <c r="I47" s="136"/>
      <c r="J47" s="135"/>
      <c r="K47" s="135"/>
      <c r="L47" s="105"/>
      <c r="M47" s="127"/>
      <c r="N47" s="127"/>
      <c r="O47" s="127"/>
      <c r="P47" s="127"/>
      <c r="Q47" s="127"/>
      <c r="R47" s="127"/>
      <c r="S47" s="127"/>
      <c r="T47" s="127"/>
      <c r="U47" s="127"/>
      <c r="V47" s="127"/>
      <c r="W47" s="127"/>
      <c r="X47" s="127"/>
      <c r="Y47" s="127"/>
      <c r="Z47" s="127"/>
      <c r="AA47" s="127"/>
      <c r="AB47" s="127"/>
      <c r="AC47" s="127"/>
      <c r="AD47" s="104"/>
      <c r="AE47" s="92"/>
      <c r="AF47" s="134"/>
      <c r="AG47" s="78"/>
      <c r="AH47" s="78"/>
      <c r="AI47" s="78"/>
      <c r="AJ47" s="78"/>
      <c r="AK47" s="78"/>
      <c r="AL47" s="94"/>
      <c r="AM47" s="78"/>
      <c r="AN47" s="78"/>
      <c r="AO47" s="78"/>
      <c r="AP47" s="78"/>
      <c r="AQ47" s="78"/>
      <c r="AR47" s="78"/>
      <c r="AS47" s="78"/>
      <c r="AT47" s="78"/>
      <c r="AU47" s="53"/>
      <c r="AV47" s="52"/>
      <c r="AW47" s="51"/>
    </row>
    <row r="48" spans="4:53">
      <c r="D48" s="45">
        <v>16</v>
      </c>
      <c r="E48" s="137" t="s">
        <v>167</v>
      </c>
      <c r="F48" s="45"/>
      <c r="G48" s="105" t="s">
        <v>99</v>
      </c>
      <c r="H48" s="45"/>
      <c r="I48" s="136" t="s">
        <v>265</v>
      </c>
      <c r="J48" s="135" t="str">
        <f>G48&amp;D48&amp;I48&amp;L48</f>
        <v>ManTech16Martin,Lindy EGovt</v>
      </c>
      <c r="K48" s="135"/>
      <c r="L48" s="105" t="s">
        <v>120</v>
      </c>
      <c r="M48" s="127">
        <v>108.5</v>
      </c>
      <c r="N48" s="127">
        <f ca="1">ROUND($M48*(VLOOKUP($L48,$L$9:$AB$24,N$6,FALSE)),2)</f>
        <v>114.31</v>
      </c>
      <c r="O48" s="127">
        <f ca="1">$N48*(VLOOKUP($L48,$L$9:$AB$24,O$6,FALSE))</f>
        <v>0</v>
      </c>
      <c r="P48" s="127">
        <f ca="1">$N48*(VLOOKUP($L48,$L$9:$AB$24,P$6,FALSE))</f>
        <v>0</v>
      </c>
      <c r="Q48" s="127">
        <f ca="1">($N48+O48+P48)*(VLOOKUP($L48,$L$9:$AB$24,Q$6,FALSE))</f>
        <v>35.710444000000003</v>
      </c>
      <c r="R48" s="127">
        <f ca="1">($N48+$Q48+O48+P48)*(VLOOKUP($L48,$L$9:$AB$24,R$6,FALSE))</f>
        <v>3.3454559011999998</v>
      </c>
      <c r="S48" s="127"/>
      <c r="T48" s="127"/>
      <c r="U48" s="127">
        <v>0</v>
      </c>
      <c r="V48" s="127">
        <v>0</v>
      </c>
      <c r="W48" s="127">
        <v>0</v>
      </c>
      <c r="X48" s="127">
        <v>0</v>
      </c>
      <c r="Y48" s="127">
        <v>0</v>
      </c>
      <c r="Z48" s="127">
        <f ca="1">IF($G48="ManTech",(SUM($N48:$Y48)*(VLOOKUP($L48,$L$9:$AB$24,Z$6,FALSE))),(IF(R48=0,((SUM(N48,#REF!))*(VLOOKUP($L48,$L$9:$AB$24,Z$6,FALSE))),(SUM($R48:$R48)*(VLOOKUP($L48,$L$9:$AB$24,Z$6,FALSE))))))</f>
        <v>14.17100915087088</v>
      </c>
      <c r="AA48" s="127">
        <f ca="1">SUM(N48:Z48)</f>
        <v>167.53690905207088</v>
      </c>
      <c r="AB48" s="127">
        <f ca="1">(AA48*(VLOOKUP($L48,$L$9:$AB$24,AB$6,FALSE)))</f>
        <v>13.402952724165671</v>
      </c>
      <c r="AC48" s="127">
        <f ca="1">ROUND(SUM(AA48:AB48),2)</f>
        <v>180.94</v>
      </c>
      <c r="AD48" s="104">
        <v>0</v>
      </c>
      <c r="AE48" s="92">
        <f ca="1">$AC48*$AD48</f>
        <v>0</v>
      </c>
      <c r="AF48" s="134">
        <f ca="1">AC48*$AF$29</f>
        <v>1447.52</v>
      </c>
      <c r="AG48" s="78"/>
      <c r="AH48" s="78"/>
      <c r="AI48" s="78">
        <f ca="1">AA48*AD48</f>
        <v>0</v>
      </c>
      <c r="AJ48" s="78">
        <f ca="1">AC48*AD48</f>
        <v>0</v>
      </c>
      <c r="AK48" s="78">
        <f ca="1">AJ48-AI48</f>
        <v>0</v>
      </c>
      <c r="AL48" s="94">
        <f ca="1">IF(AK48=0,0,ROUND(AK48/AI48,2))</f>
        <v>0</v>
      </c>
      <c r="AM48" s="78"/>
      <c r="AN48" s="78"/>
      <c r="AO48" s="78"/>
      <c r="AP48" s="78"/>
      <c r="AQ48" s="78"/>
      <c r="AR48" s="78"/>
      <c r="AS48" s="78"/>
      <c r="AT48" s="78"/>
      <c r="AU48" s="53"/>
      <c r="AV48" s="52"/>
      <c r="AW48" s="51"/>
      <c r="AZ48" s="46" t="str">
        <f t="shared" ref="AZ48:AZ54" ca="1" si="32">IF((OR((AC48=""),(AC48&gt;0))),"1","0")</f>
        <v>1</v>
      </c>
      <c r="BA48" s="46" t="str">
        <f t="shared" ref="BA48:BA54" ca="1" si="33">IF((OR((AE48=""),(AE48&gt;0))),"1","0")</f>
        <v>0</v>
      </c>
    </row>
    <row r="49" spans="2:53">
      <c r="D49" s="45">
        <f>D48+1</f>
        <v>17</v>
      </c>
      <c r="E49" s="137" t="s">
        <v>168</v>
      </c>
      <c r="F49" s="45"/>
      <c r="G49" s="105" t="s">
        <v>243</v>
      </c>
      <c r="H49" s="45"/>
      <c r="I49" s="136">
        <v>0</v>
      </c>
      <c r="J49" s="135" t="str">
        <f>G49&amp;D49&amp;I49&amp;L49</f>
        <v>Yvan170Govt_Sub</v>
      </c>
      <c r="K49" s="135"/>
      <c r="L49" s="105" t="s">
        <v>119</v>
      </c>
      <c r="M49" s="127">
        <v>148.14407599999998</v>
      </c>
      <c r="N49" s="127">
        <f ca="1">ROUND($M49*(VLOOKUP($L49,$L$9:$AB$24,N$6,FALSE)),2)</f>
        <v>148.13999999999999</v>
      </c>
      <c r="O49" s="127">
        <f ca="1">$N49*(VLOOKUP($L49,$L$9:$AB$24,O$6,FALSE))</f>
        <v>0</v>
      </c>
      <c r="P49" s="127">
        <f ca="1">$N49*(VLOOKUP($L49,$L$9:$AB$24,P$6,FALSE))</f>
        <v>0</v>
      </c>
      <c r="Q49" s="127">
        <f ca="1">($N49+O49+P49)*(VLOOKUP($L49,$L$9:$AB$24,Q$6,FALSE))</f>
        <v>0</v>
      </c>
      <c r="R49" s="127">
        <f ca="1">($N49+$Q49+O49+P49)*(VLOOKUP($L49,$L$9:$AB$24,R$6,FALSE))</f>
        <v>4.4293859999999992</v>
      </c>
      <c r="S49" s="127"/>
      <c r="T49" s="127"/>
      <c r="U49" s="127">
        <v>0</v>
      </c>
      <c r="V49" s="127">
        <v>0</v>
      </c>
      <c r="W49" s="127">
        <v>0</v>
      </c>
      <c r="X49" s="127">
        <v>0</v>
      </c>
      <c r="Y49" s="127">
        <v>0</v>
      </c>
      <c r="Z49" s="127">
        <f ca="1">IF($G49="ManTech",(SUM($N49:$Y49)*(VLOOKUP($L49,$L$9:$AB$24,Z$6,FALSE))),(IF(R49=0,((SUM(N49,#REF!))*(VLOOKUP($L49,$L$9:$AB$24,Z$6,FALSE))),(SUM($R49:$R49)*(VLOOKUP($L49,$L$9:$AB$24,Z$6,FALSE))))))</f>
        <v>0.40927526639999989</v>
      </c>
      <c r="AA49" s="127">
        <f ca="1">SUM(N49:Z49)</f>
        <v>152.97866126639997</v>
      </c>
      <c r="AB49" s="127">
        <f ca="1">(AA49*(VLOOKUP($L49,$L$9:$AB$24,AB$6,FALSE)))</f>
        <v>12.238292901311997</v>
      </c>
      <c r="AC49" s="127">
        <f ca="1">ROUND(SUM(AA49:AB49),2)</f>
        <v>165.22</v>
      </c>
      <c r="AD49" s="104">
        <v>0</v>
      </c>
      <c r="AE49" s="92">
        <f ca="1">$AC49*$AD49</f>
        <v>0</v>
      </c>
      <c r="AF49" s="134">
        <f ca="1">AC49*$AF$29</f>
        <v>1321.76</v>
      </c>
      <c r="AG49" s="78"/>
      <c r="AH49" s="78"/>
      <c r="AI49" s="78">
        <f ca="1">AA49*AD49</f>
        <v>0</v>
      </c>
      <c r="AJ49" s="78">
        <f ca="1">AC49*AD49</f>
        <v>0</v>
      </c>
      <c r="AK49" s="78">
        <f ca="1">AJ49-AI49</f>
        <v>0</v>
      </c>
      <c r="AL49" s="94">
        <f ca="1">IF(AK49=0,0,ROUND(AK49/AI49,2))</f>
        <v>0</v>
      </c>
      <c r="AM49" s="78"/>
      <c r="AN49" s="78"/>
      <c r="AO49" s="78"/>
      <c r="AP49" s="78"/>
      <c r="AQ49" s="78"/>
      <c r="AR49" s="78"/>
      <c r="AS49" s="78"/>
      <c r="AT49" s="78"/>
      <c r="AU49" s="53"/>
      <c r="AV49" s="52"/>
      <c r="AW49" s="51"/>
      <c r="AZ49" s="46" t="str">
        <f t="shared" ca="1" si="32"/>
        <v>1</v>
      </c>
      <c r="BA49" s="46" t="str">
        <f t="shared" ca="1" si="33"/>
        <v>0</v>
      </c>
    </row>
    <row r="50" spans="2:53">
      <c r="E50" s="133"/>
      <c r="F50" s="49"/>
      <c r="G50" s="49"/>
      <c r="H50" s="49"/>
      <c r="I50" s="132"/>
      <c r="J50" s="131"/>
      <c r="K50" s="131"/>
      <c r="L50" s="130"/>
      <c r="M50" s="129"/>
      <c r="N50" s="129"/>
      <c r="O50" s="129"/>
      <c r="P50" s="129"/>
      <c r="Q50" s="129"/>
      <c r="R50" s="129"/>
      <c r="S50" s="129"/>
      <c r="T50" s="129"/>
      <c r="U50" s="129"/>
      <c r="V50" s="129"/>
      <c r="W50" s="129"/>
      <c r="X50" s="129"/>
      <c r="Y50" s="129"/>
      <c r="Z50" s="129"/>
      <c r="AA50" s="129"/>
      <c r="AB50" s="129"/>
      <c r="AC50" s="129"/>
      <c r="AD50" s="128"/>
      <c r="AE50" s="100"/>
      <c r="AF50" s="101"/>
      <c r="AG50" s="99"/>
      <c r="AH50" s="99"/>
      <c r="AI50" s="99"/>
      <c r="AJ50" s="99"/>
      <c r="AK50" s="99"/>
      <c r="AL50" s="99"/>
      <c r="AM50" s="99"/>
      <c r="AN50" s="99"/>
      <c r="AO50" s="99"/>
      <c r="AP50" s="99"/>
      <c r="AQ50" s="99"/>
      <c r="AR50" s="99"/>
      <c r="AS50" s="99"/>
      <c r="AT50" s="99"/>
      <c r="AU50" s="99"/>
      <c r="AV50" s="98"/>
      <c r="AW50" s="51"/>
      <c r="AZ50" s="46" t="str">
        <f t="shared" si="32"/>
        <v>1</v>
      </c>
      <c r="BA50" s="46" t="str">
        <f t="shared" si="33"/>
        <v>1</v>
      </c>
    </row>
    <row r="51" spans="2:53">
      <c r="E51" s="91"/>
      <c r="F51" s="45"/>
      <c r="G51" s="45"/>
      <c r="H51" s="45"/>
      <c r="I51" s="45"/>
      <c r="J51" s="45"/>
      <c r="K51" s="45"/>
      <c r="L51" s="45"/>
      <c r="M51" s="127"/>
      <c r="N51" s="127"/>
      <c r="O51" s="127"/>
      <c r="P51" s="127"/>
      <c r="Q51" s="127"/>
      <c r="R51" s="127"/>
      <c r="S51" s="127"/>
      <c r="T51" s="127"/>
      <c r="U51" s="127"/>
      <c r="V51" s="127"/>
      <c r="W51" s="127"/>
      <c r="X51" s="127"/>
      <c r="Y51" s="127"/>
      <c r="Z51" s="127"/>
      <c r="AA51" s="127"/>
      <c r="AB51" s="127"/>
      <c r="AC51" s="127"/>
      <c r="AD51" s="127"/>
      <c r="AE51" s="127"/>
      <c r="AF51" s="90"/>
      <c r="AG51" s="78"/>
      <c r="AH51" s="78"/>
      <c r="AI51" s="78"/>
      <c r="AJ51" s="78"/>
      <c r="AK51" s="78"/>
      <c r="AL51" s="78"/>
      <c r="AM51" s="78"/>
      <c r="AN51" s="78"/>
      <c r="AO51" s="78"/>
      <c r="AP51" s="78"/>
      <c r="AQ51" s="78"/>
      <c r="AR51" s="78"/>
      <c r="AS51" s="78"/>
      <c r="AT51" s="78"/>
      <c r="AU51" s="53"/>
      <c r="AV51" s="52"/>
      <c r="AW51" s="51"/>
      <c r="AZ51" s="46" t="str">
        <f t="shared" si="32"/>
        <v>1</v>
      </c>
      <c r="BA51" s="46" t="str">
        <f t="shared" si="33"/>
        <v>1</v>
      </c>
    </row>
    <row r="52" spans="2:53">
      <c r="E52" s="91"/>
      <c r="F52" s="45"/>
      <c r="G52" s="45"/>
      <c r="H52" s="45"/>
      <c r="I52" s="45"/>
      <c r="J52" s="45"/>
      <c r="K52" s="45"/>
      <c r="L52" s="45"/>
      <c r="M52" s="45"/>
      <c r="N52" s="45"/>
      <c r="O52" s="45"/>
      <c r="P52" s="45"/>
      <c r="Q52" s="45"/>
      <c r="R52" s="45"/>
      <c r="S52" s="45"/>
      <c r="T52" s="45"/>
      <c r="U52" s="45"/>
      <c r="V52" s="45"/>
      <c r="W52" s="45"/>
      <c r="X52" s="45"/>
      <c r="Y52" s="45"/>
      <c r="Z52" s="45"/>
      <c r="AA52" s="45"/>
      <c r="AB52" s="45"/>
      <c r="AC52" s="97" t="s">
        <v>118</v>
      </c>
      <c r="AD52" s="126">
        <f>SUBTOTAL(9,AD$31:AD$51)</f>
        <v>1060</v>
      </c>
      <c r="AE52" s="125">
        <f ca="1">SUBTOTAL(9,AE$31:AE$51)</f>
        <v>88519.520000000019</v>
      </c>
      <c r="AF52" s="90"/>
      <c r="AG52" s="78"/>
      <c r="AH52" s="78"/>
      <c r="AI52" s="78"/>
      <c r="AJ52" s="78"/>
      <c r="AK52" s="78"/>
      <c r="AL52" s="78"/>
      <c r="AM52" s="78"/>
      <c r="AN52" s="78"/>
      <c r="AO52" s="78"/>
      <c r="AP52" s="78"/>
      <c r="AQ52" s="78"/>
      <c r="AR52" s="78"/>
      <c r="AS52" s="78"/>
      <c r="AT52" s="78"/>
      <c r="AU52" s="53"/>
      <c r="AV52" s="52"/>
      <c r="AW52" s="51"/>
      <c r="AZ52" s="46" t="str">
        <f t="shared" si="32"/>
        <v>1</v>
      </c>
      <c r="BA52" s="46" t="str">
        <f t="shared" ca="1" si="33"/>
        <v>1</v>
      </c>
    </row>
    <row r="53" spans="2:53" ht="13.5" thickBot="1">
      <c r="B53" s="45" t="s">
        <v>117</v>
      </c>
      <c r="E53" s="91"/>
      <c r="F53" s="45"/>
      <c r="G53" s="45"/>
      <c r="H53" s="45"/>
      <c r="I53" s="45"/>
      <c r="J53" s="45"/>
      <c r="K53" s="45"/>
      <c r="L53" s="45"/>
      <c r="M53" s="45"/>
      <c r="N53" s="45"/>
      <c r="O53" s="45"/>
      <c r="P53" s="45"/>
      <c r="Q53" s="45"/>
      <c r="R53" s="45"/>
      <c r="S53" s="45"/>
      <c r="T53" s="45"/>
      <c r="U53" s="45"/>
      <c r="V53" s="45"/>
      <c r="W53" s="45"/>
      <c r="X53" s="45"/>
      <c r="Y53" s="45"/>
      <c r="Z53" s="45"/>
      <c r="AA53" s="45"/>
      <c r="AB53" s="45"/>
      <c r="AC53" s="97"/>
      <c r="AD53" s="124"/>
      <c r="AE53" s="53"/>
      <c r="AF53" s="90"/>
      <c r="AR53" s="89"/>
      <c r="AS53" s="88"/>
      <c r="AZ53" s="46" t="str">
        <f t="shared" si="32"/>
        <v>1</v>
      </c>
      <c r="BA53" s="46" t="str">
        <f t="shared" si="33"/>
        <v>1</v>
      </c>
    </row>
    <row r="54" spans="2:53" s="114" customFormat="1" ht="16.5" thickBot="1">
      <c r="B54" s="123">
        <v>1.4735</v>
      </c>
      <c r="E54" s="122" t="s">
        <v>116</v>
      </c>
      <c r="F54" s="119"/>
      <c r="G54" s="119"/>
      <c r="H54" s="121"/>
      <c r="I54" s="119"/>
      <c r="J54" s="120"/>
      <c r="K54" s="120"/>
      <c r="L54" s="119"/>
      <c r="M54" s="118"/>
      <c r="N54" s="118"/>
      <c r="O54" s="118"/>
      <c r="P54" s="118"/>
      <c r="Q54" s="118"/>
      <c r="R54" s="118"/>
      <c r="S54" s="118"/>
      <c r="T54" s="118"/>
      <c r="U54" s="118"/>
      <c r="V54" s="118"/>
      <c r="W54" s="118"/>
      <c r="X54" s="118"/>
      <c r="Y54" s="118"/>
      <c r="Z54" s="118"/>
      <c r="AA54" s="118"/>
      <c r="AB54" s="118"/>
      <c r="AC54" s="118"/>
      <c r="AD54" s="118"/>
      <c r="AE54" s="118"/>
      <c r="AF54" s="117"/>
      <c r="AG54" s="116"/>
      <c r="AH54" s="116"/>
      <c r="AI54" s="116"/>
      <c r="AJ54" s="116"/>
      <c r="AK54" s="116"/>
      <c r="AL54" s="116"/>
      <c r="AM54" s="116"/>
      <c r="AN54" s="116"/>
      <c r="AO54" s="116"/>
      <c r="AP54" s="116"/>
      <c r="AQ54" s="116"/>
      <c r="AR54" s="116"/>
      <c r="AS54" s="116"/>
      <c r="AT54" s="116"/>
      <c r="AU54" s="116"/>
      <c r="AV54" s="116"/>
      <c r="AW54" s="115"/>
      <c r="AZ54" s="46" t="str">
        <f t="shared" si="32"/>
        <v>1</v>
      </c>
      <c r="BA54" s="46" t="str">
        <f t="shared" si="33"/>
        <v>1</v>
      </c>
    </row>
    <row r="55" spans="2:53" ht="15.75">
      <c r="E55" s="113" t="s">
        <v>115</v>
      </c>
      <c r="F55" s="110"/>
      <c r="G55" s="110"/>
      <c r="H55" s="112"/>
      <c r="I55" s="110"/>
      <c r="J55" s="111"/>
      <c r="K55" s="111"/>
      <c r="L55" s="110"/>
      <c r="M55" s="109"/>
      <c r="N55" s="109"/>
      <c r="O55" s="109"/>
      <c r="P55" s="109"/>
      <c r="Q55" s="109"/>
      <c r="R55" s="109"/>
      <c r="S55" s="109"/>
      <c r="T55" s="109"/>
      <c r="U55" s="109"/>
      <c r="V55" s="109"/>
      <c r="W55" s="109"/>
      <c r="X55" s="109"/>
      <c r="Y55" s="109"/>
      <c r="Z55" s="109"/>
      <c r="AA55" s="109"/>
      <c r="AB55" s="109"/>
      <c r="AC55" s="109"/>
      <c r="AD55" s="109"/>
      <c r="AE55" s="109"/>
      <c r="AF55" s="108"/>
      <c r="AG55" s="93"/>
      <c r="AH55" s="93"/>
      <c r="AI55" s="78"/>
      <c r="AJ55" s="78"/>
      <c r="AK55" s="78"/>
      <c r="AL55" s="94"/>
      <c r="AM55" s="93"/>
      <c r="AN55" s="93"/>
      <c r="AO55" s="93"/>
      <c r="AP55" s="93"/>
      <c r="AQ55" s="93"/>
      <c r="AR55" s="78"/>
      <c r="AS55" s="93"/>
      <c r="AT55" s="78"/>
      <c r="AU55" s="53"/>
      <c r="AV55" s="52"/>
      <c r="AW55" s="51"/>
    </row>
    <row r="56" spans="2:53">
      <c r="E56" s="106" t="s">
        <v>114</v>
      </c>
      <c r="F56" s="45"/>
      <c r="G56" s="45"/>
      <c r="H56" s="45"/>
      <c r="I56" s="45"/>
      <c r="J56" s="45"/>
      <c r="K56" s="45"/>
      <c r="L56" s="105" t="s">
        <v>110</v>
      </c>
      <c r="M56" s="92">
        <v>499.95</v>
      </c>
      <c r="N56" s="92">
        <f ca="1">ROUND($M56*(VLOOKUP($L56,$L$9:$AB$24,N$6,FALSE)),2)</f>
        <v>499.95</v>
      </c>
      <c r="O56" s="92">
        <f t="shared" ref="O56:Q58" ca="1" si="34">ROUND($N56*(VLOOKUP($L56,$L$9:$AB$24,O$6,FALSE)),2)</f>
        <v>0</v>
      </c>
      <c r="P56" s="92">
        <f t="shared" ca="1" si="34"/>
        <v>0</v>
      </c>
      <c r="Q56" s="92">
        <f t="shared" ca="1" si="34"/>
        <v>0</v>
      </c>
      <c r="R56" s="92">
        <f ca="1">ROUND(($N56+$Q56)*(VLOOKUP($L56,$L$9:$AB$24,R$6,FALSE)),2)</f>
        <v>0</v>
      </c>
      <c r="S56" s="92"/>
      <c r="T56" s="92"/>
      <c r="U56" s="92">
        <f t="shared" ref="U56:Y58" ca="1" si="35">ROUND($N56*(VLOOKUP($L56,$L$9:$AB$24,U$6,FALSE)),2)</f>
        <v>0</v>
      </c>
      <c r="V56" s="92">
        <f t="shared" ca="1" si="35"/>
        <v>0</v>
      </c>
      <c r="W56" s="92">
        <f t="shared" ca="1" si="35"/>
        <v>0</v>
      </c>
      <c r="X56" s="92">
        <f t="shared" ca="1" si="35"/>
        <v>0</v>
      </c>
      <c r="Y56" s="92">
        <f t="shared" ca="1" si="35"/>
        <v>0</v>
      </c>
      <c r="Z56" s="92">
        <f ca="1">IF($R56=0,ROUND(SUM($N56:$R56)*(VLOOKUP($L56,$L$9:$AB$24,Z$6,FALSE)),2),ROUND(SUM($R56:$R56)*(VLOOKUP($L56,$L$9:$AB$24,Z$6,FALSE)),2))</f>
        <v>46.2</v>
      </c>
      <c r="AA56" s="92">
        <f ca="1">SUM(N56:Z56)</f>
        <v>546.15</v>
      </c>
      <c r="AB56" s="92">
        <f ca="1">ROUND(AA56*(VLOOKUP($L56,$L$9:$AB$24,AB$6,FALSE)),2)</f>
        <v>43.69</v>
      </c>
      <c r="AC56" s="92">
        <f ca="1">SUM(AA56:AB56)</f>
        <v>589.83999999999992</v>
      </c>
      <c r="AD56" s="104">
        <v>1</v>
      </c>
      <c r="AE56" s="92">
        <f ca="1">$AC56*$AD56</f>
        <v>589.83999999999992</v>
      </c>
      <c r="AF56" s="90"/>
      <c r="AG56" s="93"/>
      <c r="AH56" s="93"/>
      <c r="AI56" s="78">
        <f ca="1">AA56*AD56</f>
        <v>546.15</v>
      </c>
      <c r="AJ56" s="78">
        <f ca="1">AC56*AD56</f>
        <v>589.83999999999992</v>
      </c>
      <c r="AK56" s="78">
        <f ca="1">AJ56-AI56</f>
        <v>43.689999999999941</v>
      </c>
      <c r="AL56" s="94">
        <f ca="1">IF(AK56=0,0,ROUND(AK56/AI56,2))</f>
        <v>0.08</v>
      </c>
      <c r="AM56" s="93"/>
      <c r="AN56" s="93"/>
      <c r="AO56" s="93"/>
      <c r="AP56" s="93"/>
      <c r="AQ56" s="93"/>
      <c r="AR56" s="78"/>
      <c r="AS56" s="93"/>
      <c r="AT56" s="78"/>
      <c r="AU56" s="53"/>
      <c r="AV56" s="52"/>
      <c r="AW56" s="51"/>
      <c r="AZ56" s="46" t="str">
        <f ca="1">IF((OR((AC56=""),(AC56&gt;0))),"1","0")</f>
        <v>1</v>
      </c>
      <c r="BA56" s="46" t="str">
        <f ca="1">IF((OR((AE56=""),(AE56&gt;0))),"1","0")</f>
        <v>1</v>
      </c>
    </row>
    <row r="57" spans="2:53">
      <c r="E57" s="106" t="s">
        <v>113</v>
      </c>
      <c r="F57" s="45"/>
      <c r="G57" s="45"/>
      <c r="H57" s="45"/>
      <c r="I57" s="45"/>
      <c r="J57" s="45"/>
      <c r="K57" s="45"/>
      <c r="L57" s="105" t="s">
        <v>110</v>
      </c>
      <c r="M57" s="92">
        <v>359</v>
      </c>
      <c r="N57" s="92">
        <f ca="1">ROUND($M57*(VLOOKUP($L57,$L$9:$AB$24,N$6,FALSE)),2)</f>
        <v>359</v>
      </c>
      <c r="O57" s="92">
        <f t="shared" ca="1" si="34"/>
        <v>0</v>
      </c>
      <c r="P57" s="92">
        <f t="shared" ca="1" si="34"/>
        <v>0</v>
      </c>
      <c r="Q57" s="92">
        <f t="shared" ca="1" si="34"/>
        <v>0</v>
      </c>
      <c r="R57" s="92">
        <f ca="1">ROUND(($N57+$Q57)*(VLOOKUP($L57,$L$9:$AB$24,R$6,FALSE)),2)</f>
        <v>0</v>
      </c>
      <c r="S57" s="92"/>
      <c r="T57" s="92"/>
      <c r="U57" s="92">
        <f t="shared" ca="1" si="35"/>
        <v>0</v>
      </c>
      <c r="V57" s="92">
        <f t="shared" ca="1" si="35"/>
        <v>0</v>
      </c>
      <c r="W57" s="92">
        <f t="shared" ca="1" si="35"/>
        <v>0</v>
      </c>
      <c r="X57" s="92">
        <f t="shared" ca="1" si="35"/>
        <v>0</v>
      </c>
      <c r="Y57" s="92">
        <f t="shared" ca="1" si="35"/>
        <v>0</v>
      </c>
      <c r="Z57" s="92">
        <f ca="1">IF($R57=0,ROUND(SUM($N57:$R57)*(VLOOKUP($L57,$L$9:$AB$24,Z$6,FALSE)),2),ROUND(SUM($R57:$R57)*(VLOOKUP($L57,$L$9:$AB$24,Z$6,FALSE)),2))</f>
        <v>33.17</v>
      </c>
      <c r="AA57" s="92">
        <f ca="1">SUM(N57:Z57)</f>
        <v>392.17</v>
      </c>
      <c r="AB57" s="92">
        <f ca="1">ROUND(AA57*(VLOOKUP($L57,$L$9:$AB$24,AB$6,FALSE)),2)</f>
        <v>31.37</v>
      </c>
      <c r="AC57" s="92">
        <f ca="1">SUM(AA57:AB57)</f>
        <v>423.54</v>
      </c>
      <c r="AD57" s="104">
        <v>1</v>
      </c>
      <c r="AE57" s="92">
        <f ca="1">$AC57*$AD57</f>
        <v>423.54</v>
      </c>
      <c r="AF57" s="90"/>
      <c r="AG57" s="93"/>
      <c r="AH57" s="93"/>
      <c r="AI57" s="78">
        <f ca="1">AA57*AD57</f>
        <v>392.17</v>
      </c>
      <c r="AJ57" s="78">
        <f ca="1">AC57*AD57</f>
        <v>423.54</v>
      </c>
      <c r="AK57" s="78">
        <f ca="1">AJ57-AI57</f>
        <v>31.370000000000005</v>
      </c>
      <c r="AL57" s="94">
        <f ca="1">IF(AK57=0,0,ROUND(AK57/AI57,2))</f>
        <v>0.08</v>
      </c>
      <c r="AM57" s="93"/>
      <c r="AN57" s="93"/>
      <c r="AO57" s="93"/>
      <c r="AP57" s="93"/>
      <c r="AQ57" s="93"/>
      <c r="AR57" s="78"/>
      <c r="AS57" s="93"/>
      <c r="AT57" s="78"/>
      <c r="AU57" s="53"/>
      <c r="AV57" s="52"/>
      <c r="AW57" s="51"/>
      <c r="AZ57" s="46" t="str">
        <f ca="1">IF((OR((AC57=""),(AC57&gt;0))),"1","0")</f>
        <v>1</v>
      </c>
      <c r="BA57" s="46" t="str">
        <f ca="1">IF((OR((AE57=""),(AE57&gt;0))),"1","0")</f>
        <v>1</v>
      </c>
    </row>
    <row r="58" spans="2:53">
      <c r="E58" s="106" t="s">
        <v>112</v>
      </c>
      <c r="F58" s="45"/>
      <c r="G58" s="45"/>
      <c r="H58" s="45"/>
      <c r="I58" s="45"/>
      <c r="J58" s="45"/>
      <c r="K58" s="45"/>
      <c r="L58" s="105" t="s">
        <v>110</v>
      </c>
      <c r="M58" s="92">
        <v>199.95</v>
      </c>
      <c r="N58" s="92">
        <f ca="1">ROUND($M58*(VLOOKUP($L58,$L$9:$AB$24,N$6,FALSE)),2)</f>
        <v>199.95</v>
      </c>
      <c r="O58" s="92">
        <f t="shared" ca="1" si="34"/>
        <v>0</v>
      </c>
      <c r="P58" s="92">
        <f t="shared" ca="1" si="34"/>
        <v>0</v>
      </c>
      <c r="Q58" s="92">
        <f t="shared" ca="1" si="34"/>
        <v>0</v>
      </c>
      <c r="R58" s="92">
        <f ca="1">ROUND(($N58+$Q58)*(VLOOKUP($L58,$L$9:$AB$24,R$6,FALSE)),2)</f>
        <v>0</v>
      </c>
      <c r="S58" s="92"/>
      <c r="T58" s="92"/>
      <c r="U58" s="92">
        <f t="shared" ca="1" si="35"/>
        <v>0</v>
      </c>
      <c r="V58" s="92">
        <f t="shared" ca="1" si="35"/>
        <v>0</v>
      </c>
      <c r="W58" s="92">
        <f t="shared" ca="1" si="35"/>
        <v>0</v>
      </c>
      <c r="X58" s="92">
        <f t="shared" ca="1" si="35"/>
        <v>0</v>
      </c>
      <c r="Y58" s="92">
        <f t="shared" ca="1" si="35"/>
        <v>0</v>
      </c>
      <c r="Z58" s="92">
        <f ca="1">IF($R58=0,ROUND(SUM($N58:$R58)*(VLOOKUP($L58,$L$9:$AB$24,Z$6,FALSE)),2),ROUND(SUM($R58:$R58)*(VLOOKUP($L58,$L$9:$AB$24,Z$6,FALSE)),2))</f>
        <v>18.48</v>
      </c>
      <c r="AA58" s="92">
        <f ca="1">SUM(N58:Z58)</f>
        <v>218.42999999999998</v>
      </c>
      <c r="AB58" s="92">
        <f ca="1">ROUND(AA58*(VLOOKUP($L58,$L$9:$AB$24,AB$6,FALSE)),2)</f>
        <v>17.47</v>
      </c>
      <c r="AC58" s="92">
        <f ca="1">SUM(AA58:AB58)</f>
        <v>235.89999999999998</v>
      </c>
      <c r="AD58" s="104">
        <v>1</v>
      </c>
      <c r="AE58" s="92">
        <f ca="1">$AC58*$AD58</f>
        <v>235.89999999999998</v>
      </c>
      <c r="AF58" s="90"/>
      <c r="AG58" s="93"/>
      <c r="AH58" s="93"/>
      <c r="AI58" s="78">
        <f ca="1">AA58*AD58</f>
        <v>218.42999999999998</v>
      </c>
      <c r="AJ58" s="78">
        <f ca="1">AC58*AD58</f>
        <v>235.89999999999998</v>
      </c>
      <c r="AK58" s="78">
        <f ca="1">AJ58-AI58</f>
        <v>17.47</v>
      </c>
      <c r="AL58" s="94">
        <f ca="1">IF(AK58=0,0,ROUND(AK58/AI58,2))</f>
        <v>0.08</v>
      </c>
      <c r="AM58" s="93"/>
      <c r="AN58" s="93"/>
      <c r="AO58" s="93"/>
      <c r="AP58" s="93"/>
      <c r="AQ58" s="93"/>
      <c r="AR58" s="78"/>
      <c r="AS58" s="93"/>
      <c r="AT58" s="78"/>
      <c r="AU58" s="53"/>
      <c r="AV58" s="52"/>
      <c r="AW58" s="51"/>
    </row>
    <row r="59" spans="2:53">
      <c r="E59" s="106"/>
      <c r="F59" s="45"/>
      <c r="G59" s="45"/>
      <c r="H59" s="45"/>
      <c r="I59" s="45"/>
      <c r="J59" s="45"/>
      <c r="K59" s="45"/>
      <c r="L59" s="105"/>
      <c r="M59" s="92"/>
      <c r="N59" s="92"/>
      <c r="O59" s="92"/>
      <c r="P59" s="92"/>
      <c r="Q59" s="92"/>
      <c r="R59" s="92"/>
      <c r="S59" s="92"/>
      <c r="T59" s="92"/>
      <c r="U59" s="92"/>
      <c r="V59" s="92"/>
      <c r="W59" s="92"/>
      <c r="X59" s="92"/>
      <c r="Y59" s="92"/>
      <c r="Z59" s="92"/>
      <c r="AA59" s="92"/>
      <c r="AB59" s="92"/>
      <c r="AC59" s="92" t="s">
        <v>109</v>
      </c>
      <c r="AD59" s="104"/>
      <c r="AE59" s="92">
        <f ca="1">SUBTOTAL(9,AE56:AE58)</f>
        <v>1249.2799999999997</v>
      </c>
      <c r="AF59" s="90"/>
      <c r="AG59" s="93"/>
      <c r="AH59" s="93"/>
      <c r="AI59" s="78"/>
      <c r="AJ59" s="78"/>
      <c r="AK59" s="78"/>
      <c r="AL59" s="94"/>
      <c r="AM59" s="93"/>
      <c r="AN59" s="93"/>
      <c r="AO59" s="93"/>
      <c r="AP59" s="93"/>
      <c r="AQ59" s="93"/>
      <c r="AR59" s="78"/>
      <c r="AS59" s="93"/>
      <c r="AT59" s="78"/>
      <c r="AU59" s="53"/>
      <c r="AV59" s="52"/>
      <c r="AW59" s="51"/>
    </row>
    <row r="60" spans="2:53">
      <c r="E60" s="103"/>
      <c r="F60" s="49"/>
      <c r="G60" s="49"/>
      <c r="H60" s="49"/>
      <c r="I60" s="49"/>
      <c r="J60" s="49"/>
      <c r="K60" s="49"/>
      <c r="L60" s="49"/>
      <c r="M60" s="100"/>
      <c r="N60" s="100"/>
      <c r="O60" s="100"/>
      <c r="P60" s="100"/>
      <c r="Q60" s="100"/>
      <c r="R60" s="100"/>
      <c r="S60" s="100"/>
      <c r="T60" s="100"/>
      <c r="U60" s="100"/>
      <c r="V60" s="100"/>
      <c r="W60" s="100"/>
      <c r="X60" s="100"/>
      <c r="Y60" s="100"/>
      <c r="Z60" s="100"/>
      <c r="AA60" s="100"/>
      <c r="AB60" s="100"/>
      <c r="AC60" s="100"/>
      <c r="AD60" s="102"/>
      <c r="AE60" s="100"/>
      <c r="AF60" s="101"/>
      <c r="AG60" s="100"/>
      <c r="AH60" s="100"/>
      <c r="AI60" s="100"/>
      <c r="AJ60" s="100"/>
      <c r="AK60" s="100"/>
      <c r="AL60" s="100"/>
      <c r="AM60" s="100"/>
      <c r="AN60" s="100"/>
      <c r="AO60" s="100"/>
      <c r="AP60" s="100"/>
      <c r="AQ60" s="100"/>
      <c r="AR60" s="99"/>
      <c r="AS60" s="100"/>
      <c r="AT60" s="99"/>
      <c r="AU60" s="99"/>
      <c r="AV60" s="98"/>
      <c r="AW60" s="51"/>
      <c r="AZ60" s="46" t="str">
        <f t="shared" ref="AZ60:AZ91" si="36">IF((OR((AC60=""),(AC60&gt;0))),"1","0")</f>
        <v>1</v>
      </c>
      <c r="BA60" s="46" t="str">
        <f t="shared" ref="BA60:BA91" si="37">IF((OR((AE60=""),(AE60&gt;0))),"1","0")</f>
        <v>1</v>
      </c>
    </row>
    <row r="61" spans="2:53">
      <c r="E61" s="91"/>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92"/>
      <c r="AF61" s="90"/>
      <c r="AZ61" s="46" t="str">
        <f t="shared" si="36"/>
        <v>1</v>
      </c>
      <c r="BA61" s="46" t="str">
        <f t="shared" si="37"/>
        <v>1</v>
      </c>
    </row>
    <row r="62" spans="2:53">
      <c r="E62" s="91"/>
      <c r="F62" s="45"/>
      <c r="G62" s="45"/>
      <c r="H62" s="45"/>
      <c r="I62" s="45"/>
      <c r="J62" s="45"/>
      <c r="K62" s="45"/>
      <c r="L62" s="45"/>
      <c r="M62" s="45"/>
      <c r="N62" s="45"/>
      <c r="O62" s="45"/>
      <c r="P62" s="45"/>
      <c r="Q62" s="45"/>
      <c r="R62" s="45"/>
      <c r="S62" s="45"/>
      <c r="T62" s="45"/>
      <c r="U62" s="45"/>
      <c r="V62" s="45"/>
      <c r="W62" s="45"/>
      <c r="X62" s="45"/>
      <c r="Y62" s="45"/>
      <c r="Z62" s="45"/>
      <c r="AA62" s="45"/>
      <c r="AB62" s="45"/>
      <c r="AC62" s="97" t="s">
        <v>108</v>
      </c>
      <c r="AD62" s="96"/>
      <c r="AE62" s="95">
        <f ca="1">SUBTOTAL(9,AE$54:AE$61)</f>
        <v>1249.2799999999997</v>
      </c>
      <c r="AF62" s="90"/>
      <c r="AG62" s="93"/>
      <c r="AH62" s="93"/>
      <c r="AI62" s="93">
        <f ca="1">SUM(AI32:AI58)</f>
        <v>83119.280967262472</v>
      </c>
      <c r="AJ62" s="93">
        <f ca="1">SUM(AJ32:AJ58)</f>
        <v>89768.8</v>
      </c>
      <c r="AK62" s="93">
        <f ca="1">SUM(AK32:AK58)</f>
        <v>6649.5190327375303</v>
      </c>
      <c r="AL62" s="94">
        <f ca="1">IF(AK62=0,0,ROUND(AK62/AI62,2))</f>
        <v>0.08</v>
      </c>
      <c r="AM62" s="93"/>
      <c r="AN62" s="93"/>
      <c r="AO62" s="93"/>
      <c r="AP62" s="93"/>
      <c r="AQ62" s="93"/>
      <c r="AR62" s="93"/>
      <c r="AS62" s="93"/>
      <c r="AT62" s="93"/>
      <c r="AU62" s="92"/>
      <c r="AV62" s="52"/>
      <c r="AW62" s="51"/>
      <c r="AZ62" s="46" t="str">
        <f t="shared" si="36"/>
        <v>1</v>
      </c>
      <c r="BA62" s="46" t="str">
        <f t="shared" ca="1" si="37"/>
        <v>1</v>
      </c>
    </row>
    <row r="63" spans="2:53">
      <c r="E63" s="91"/>
      <c r="F63" s="45"/>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90"/>
      <c r="AR63" s="89"/>
      <c r="AS63" s="88"/>
      <c r="AZ63" s="46" t="str">
        <f t="shared" si="36"/>
        <v>1</v>
      </c>
      <c r="BA63" s="46" t="str">
        <f t="shared" si="37"/>
        <v>1</v>
      </c>
    </row>
    <row r="64" spans="2:53">
      <c r="E64" s="87"/>
      <c r="F64" s="85"/>
      <c r="G64" s="85"/>
      <c r="H64" s="85"/>
      <c r="I64" s="85"/>
      <c r="J64" s="85"/>
      <c r="K64" s="85"/>
      <c r="L64" s="85"/>
      <c r="M64" s="85"/>
      <c r="N64" s="85"/>
      <c r="O64" s="85"/>
      <c r="P64" s="85"/>
      <c r="Q64" s="85"/>
      <c r="R64" s="85"/>
      <c r="S64" s="85"/>
      <c r="T64" s="85"/>
      <c r="U64" s="85"/>
      <c r="V64" s="85"/>
      <c r="W64" s="85"/>
      <c r="X64" s="85"/>
      <c r="Y64" s="85"/>
      <c r="Z64" s="85"/>
      <c r="AA64" s="85"/>
      <c r="AB64" s="85"/>
      <c r="AC64" s="85"/>
      <c r="AD64" s="85"/>
      <c r="AE64" s="85"/>
      <c r="AF64" s="86"/>
      <c r="AG64" s="85"/>
      <c r="AH64" s="85"/>
      <c r="AI64" s="85"/>
      <c r="AJ64" s="85"/>
      <c r="AK64" s="85"/>
      <c r="AL64" s="85"/>
      <c r="AM64" s="85"/>
      <c r="AN64" s="85"/>
      <c r="AO64" s="85"/>
      <c r="AP64" s="85"/>
      <c r="AQ64" s="85"/>
      <c r="AR64" s="85"/>
      <c r="AS64" s="85"/>
      <c r="AT64" s="85"/>
      <c r="AV64" s="85"/>
      <c r="AZ64" s="46" t="str">
        <f t="shared" si="36"/>
        <v>1</v>
      </c>
      <c r="BA64" s="46" t="str">
        <f t="shared" si="37"/>
        <v>1</v>
      </c>
    </row>
    <row r="65" spans="5:53" ht="13.5" thickBot="1">
      <c r="E65" s="84"/>
      <c r="F65" s="83"/>
      <c r="G65" s="83"/>
      <c r="H65" s="83"/>
      <c r="I65" s="83"/>
      <c r="J65" s="83"/>
      <c r="K65" s="83"/>
      <c r="L65" s="83"/>
      <c r="M65" s="83"/>
      <c r="N65" s="83"/>
      <c r="O65" s="83"/>
      <c r="P65" s="83"/>
      <c r="Q65" s="83"/>
      <c r="R65" s="83"/>
      <c r="S65" s="83"/>
      <c r="T65" s="83"/>
      <c r="U65" s="83"/>
      <c r="V65" s="83"/>
      <c r="W65" s="83"/>
      <c r="X65" s="83"/>
      <c r="Y65" s="83"/>
      <c r="Z65" s="83"/>
      <c r="AA65" s="83"/>
      <c r="AB65" s="83"/>
      <c r="AC65" s="82" t="s">
        <v>107</v>
      </c>
      <c r="AD65" s="81">
        <f>AD52</f>
        <v>1060</v>
      </c>
      <c r="AE65" s="80">
        <f ca="1">SUBTOTAL(9,AE$31:AE$64)</f>
        <v>89768.8</v>
      </c>
      <c r="AF65" s="79"/>
      <c r="AG65" s="78"/>
      <c r="AH65" s="78"/>
      <c r="AI65" s="78"/>
      <c r="AJ65" s="78"/>
      <c r="AK65" s="78"/>
      <c r="AL65" s="78"/>
      <c r="AM65" s="78"/>
      <c r="AN65" s="78"/>
      <c r="AO65" s="78"/>
      <c r="AP65" s="78"/>
      <c r="AQ65" s="78"/>
      <c r="AR65" s="78"/>
      <c r="AS65" s="78"/>
      <c r="AT65" s="78"/>
      <c r="AU65" s="53"/>
      <c r="AV65" s="52"/>
      <c r="AW65" s="51"/>
      <c r="AZ65" s="46" t="str">
        <f t="shared" si="36"/>
        <v>1</v>
      </c>
      <c r="BA65" s="46" t="str">
        <f t="shared" ca="1" si="37"/>
        <v>1</v>
      </c>
    </row>
    <row r="66" spans="5:53">
      <c r="AR66" s="77"/>
      <c r="AS66" s="76"/>
      <c r="AZ66" s="46" t="str">
        <f t="shared" si="36"/>
        <v>1</v>
      </c>
      <c r="BA66" s="46" t="str">
        <f t="shared" si="37"/>
        <v>1</v>
      </c>
    </row>
    <row r="67" spans="5:53">
      <c r="AZ67" s="46" t="str">
        <f t="shared" si="36"/>
        <v>1</v>
      </c>
      <c r="BA67" s="46" t="str">
        <f t="shared" si="37"/>
        <v>1</v>
      </c>
    </row>
    <row r="68" spans="5:53">
      <c r="O68" s="73"/>
      <c r="P68" s="73"/>
      <c r="R68" s="75" t="s">
        <v>106</v>
      </c>
      <c r="S68" s="74"/>
      <c r="T68" s="74"/>
      <c r="U68" s="73"/>
      <c r="V68" s="73"/>
      <c r="W68" s="73"/>
      <c r="X68" s="73"/>
      <c r="Y68" s="73"/>
      <c r="Z68" s="72" t="s">
        <v>105</v>
      </c>
      <c r="AA68" s="71" t="s">
        <v>104</v>
      </c>
      <c r="AB68" s="72" t="s">
        <v>103</v>
      </c>
      <c r="AC68" s="71" t="s">
        <v>102</v>
      </c>
      <c r="AD68" s="72" t="s">
        <v>101</v>
      </c>
      <c r="AE68" s="71" t="s">
        <v>100</v>
      </c>
      <c r="AZ68" s="46" t="str">
        <f t="shared" si="36"/>
        <v>1</v>
      </c>
      <c r="BA68" s="46" t="str">
        <f t="shared" si="37"/>
        <v>1</v>
      </c>
    </row>
    <row r="69" spans="5:53">
      <c r="O69" s="45"/>
      <c r="P69" s="45"/>
      <c r="R69" s="67" t="s">
        <v>99</v>
      </c>
      <c r="S69" s="66"/>
      <c r="T69" s="66"/>
      <c r="U69" s="45"/>
      <c r="V69" s="45"/>
      <c r="W69" s="45"/>
      <c r="X69" s="45"/>
      <c r="Y69" s="45"/>
      <c r="Z69" s="64">
        <f t="shared" ref="Z69:Z89" si="38">IF(AD69=0,0,(AD69/AD$90))</f>
        <v>0.99622641509433962</v>
      </c>
      <c r="AA69" s="65">
        <f t="shared" ref="AA69:AA89" ca="1" si="39">IF(AE69=0,0,(AE69/AE$90))</f>
        <v>0.96114393751796212</v>
      </c>
      <c r="AB69" s="70" t="s">
        <v>98</v>
      </c>
      <c r="AC69" s="69" t="s">
        <v>98</v>
      </c>
      <c r="AD69" s="62">
        <f t="shared" ref="AD69:AE89" si="40">SUMIF($G$31:$G$53,$R69,AD$31:AD$63)</f>
        <v>1056</v>
      </c>
      <c r="AE69" s="61">
        <f t="shared" ca="1" si="40"/>
        <v>85080.000000000015</v>
      </c>
      <c r="AF69" s="47" t="str">
        <f t="shared" ref="AF69:AF89" si="41">R69</f>
        <v>ManTech</v>
      </c>
      <c r="AG69" s="53"/>
      <c r="AH69" s="53"/>
      <c r="AI69" s="53"/>
      <c r="AJ69" s="53"/>
      <c r="AK69" s="53"/>
      <c r="AL69" s="53"/>
      <c r="AM69" s="53"/>
      <c r="AN69" s="53"/>
      <c r="AO69" s="53"/>
      <c r="AP69" s="53"/>
      <c r="AQ69" s="53"/>
      <c r="AR69" s="53"/>
      <c r="AS69" s="53"/>
      <c r="AT69" s="53"/>
      <c r="AU69" s="53"/>
      <c r="AV69" s="52"/>
      <c r="AW69" s="51"/>
      <c r="AZ69" s="46" t="str">
        <f t="shared" si="36"/>
        <v>1</v>
      </c>
      <c r="BA69" s="46" t="str">
        <f t="shared" ca="1" si="37"/>
        <v>1</v>
      </c>
    </row>
    <row r="70" spans="5:53">
      <c r="M70" s="68"/>
      <c r="O70" s="45"/>
      <c r="P70" s="45"/>
      <c r="R70" s="67" t="s">
        <v>241</v>
      </c>
      <c r="S70" s="66"/>
      <c r="T70" s="66"/>
      <c r="U70" s="45"/>
      <c r="V70" s="45"/>
      <c r="W70" s="45"/>
      <c r="X70" s="45"/>
      <c r="Y70" s="45"/>
      <c r="Z70" s="64">
        <f t="shared" si="38"/>
        <v>3.7735849056603774E-3</v>
      </c>
      <c r="AA70" s="65">
        <f t="shared" ca="1" si="39"/>
        <v>3.8856062482037851E-2</v>
      </c>
      <c r="AB70" s="64">
        <f t="shared" ref="AB70:AB89" si="42">IF(AD70=0,0,(AD70/(AD$90-AD$69)))</f>
        <v>1</v>
      </c>
      <c r="AC70" s="63">
        <f t="shared" ref="AC70:AC89" ca="1" si="43">IF(AE70=0,0,(AE70/(AE$90-AE$69)))</f>
        <v>0.99999999999999878</v>
      </c>
      <c r="AD70" s="62">
        <f t="shared" si="40"/>
        <v>4</v>
      </c>
      <c r="AE70" s="61">
        <f t="shared" ca="1" si="40"/>
        <v>3439.52</v>
      </c>
      <c r="AF70" s="47" t="str">
        <f t="shared" si="41"/>
        <v>Segovia, Inc.</v>
      </c>
      <c r="AG70" s="53"/>
      <c r="AH70" s="53"/>
      <c r="AI70" s="53"/>
      <c r="AJ70" s="53"/>
      <c r="AK70" s="53"/>
      <c r="AL70" s="53"/>
      <c r="AM70" s="53"/>
      <c r="AN70" s="53"/>
      <c r="AO70" s="53"/>
      <c r="AP70" s="53"/>
      <c r="AQ70" s="53"/>
      <c r="AR70" s="53"/>
      <c r="AS70" s="53"/>
      <c r="AT70" s="53"/>
      <c r="AU70" s="53"/>
      <c r="AV70" s="52"/>
      <c r="AW70" s="51"/>
      <c r="AZ70" s="46" t="str">
        <f t="shared" ca="1" si="36"/>
        <v>1</v>
      </c>
      <c r="BA70" s="46" t="str">
        <f t="shared" ca="1" si="37"/>
        <v>1</v>
      </c>
    </row>
    <row r="71" spans="5:53">
      <c r="M71" s="68"/>
      <c r="O71" s="45"/>
      <c r="P71" s="45"/>
      <c r="R71" s="67" t="s">
        <v>242</v>
      </c>
      <c r="S71" s="66"/>
      <c r="T71" s="66"/>
      <c r="U71" s="45"/>
      <c r="V71" s="45"/>
      <c r="W71" s="45"/>
      <c r="X71" s="45"/>
      <c r="Y71" s="45"/>
      <c r="Z71" s="64">
        <f t="shared" si="38"/>
        <v>0</v>
      </c>
      <c r="AA71" s="65">
        <f t="shared" si="39"/>
        <v>0</v>
      </c>
      <c r="AB71" s="64">
        <f t="shared" si="42"/>
        <v>0</v>
      </c>
      <c r="AC71" s="63">
        <f t="shared" si="43"/>
        <v>0</v>
      </c>
      <c r="AD71" s="62">
        <f t="shared" si="40"/>
        <v>0</v>
      </c>
      <c r="AE71" s="61">
        <f t="shared" si="40"/>
        <v>0</v>
      </c>
      <c r="AF71" s="47" t="str">
        <f t="shared" si="41"/>
        <v>Briggs and Sons</v>
      </c>
      <c r="AG71" s="53"/>
      <c r="AH71" s="53"/>
      <c r="AI71" s="53"/>
      <c r="AJ71" s="53"/>
      <c r="AK71" s="53"/>
      <c r="AL71" s="53"/>
      <c r="AM71" s="53"/>
      <c r="AN71" s="53"/>
      <c r="AO71" s="53"/>
      <c r="AP71" s="53"/>
      <c r="AQ71" s="53"/>
      <c r="AR71" s="53"/>
      <c r="AS71" s="53"/>
      <c r="AT71" s="53"/>
      <c r="AU71" s="53"/>
      <c r="AV71" s="52"/>
      <c r="AW71" s="51"/>
      <c r="AZ71" s="46" t="str">
        <f t="shared" si="36"/>
        <v>0</v>
      </c>
      <c r="BA71" s="46" t="str">
        <f t="shared" si="37"/>
        <v>0</v>
      </c>
    </row>
    <row r="72" spans="5:53">
      <c r="M72" s="68"/>
      <c r="O72" s="45"/>
      <c r="P72" s="45"/>
      <c r="R72" s="67" t="s">
        <v>243</v>
      </c>
      <c r="S72" s="66"/>
      <c r="T72" s="66"/>
      <c r="U72" s="45"/>
      <c r="V72" s="45"/>
      <c r="W72" s="45"/>
      <c r="X72" s="45"/>
      <c r="Y72" s="45"/>
      <c r="Z72" s="64">
        <f t="shared" si="38"/>
        <v>0</v>
      </c>
      <c r="AA72" s="65">
        <f t="shared" ca="1" si="39"/>
        <v>0</v>
      </c>
      <c r="AB72" s="64">
        <f t="shared" si="42"/>
        <v>0</v>
      </c>
      <c r="AC72" s="63">
        <f t="shared" ca="1" si="43"/>
        <v>0</v>
      </c>
      <c r="AD72" s="62">
        <f t="shared" si="40"/>
        <v>0</v>
      </c>
      <c r="AE72" s="61">
        <f t="shared" ca="1" si="40"/>
        <v>0</v>
      </c>
      <c r="AF72" s="47" t="str">
        <f t="shared" si="41"/>
        <v>Yvan</v>
      </c>
      <c r="AG72" s="53"/>
      <c r="AH72" s="53"/>
      <c r="AI72" s="53"/>
      <c r="AJ72" s="53"/>
      <c r="AK72" s="53"/>
      <c r="AL72" s="53"/>
      <c r="AM72" s="53"/>
      <c r="AN72" s="53"/>
      <c r="AO72" s="53"/>
      <c r="AP72" s="53"/>
      <c r="AQ72" s="53"/>
      <c r="AR72" s="53"/>
      <c r="AS72" s="53"/>
      <c r="AT72" s="53"/>
      <c r="AU72" s="53"/>
      <c r="AV72" s="52"/>
      <c r="AW72" s="51"/>
      <c r="AZ72" s="46" t="str">
        <f t="shared" ca="1" si="36"/>
        <v>0</v>
      </c>
      <c r="BA72" s="46" t="str">
        <f t="shared" ca="1" si="37"/>
        <v>0</v>
      </c>
    </row>
    <row r="73" spans="5:53">
      <c r="O73" s="45"/>
      <c r="P73" s="45"/>
      <c r="R73" s="67" t="s">
        <v>244</v>
      </c>
      <c r="S73" s="66"/>
      <c r="T73" s="66"/>
      <c r="U73" s="45"/>
      <c r="V73" s="45"/>
      <c r="W73" s="45"/>
      <c r="X73" s="45"/>
      <c r="Y73" s="45"/>
      <c r="Z73" s="64">
        <f t="shared" si="38"/>
        <v>0</v>
      </c>
      <c r="AA73" s="65">
        <f t="shared" si="39"/>
        <v>0</v>
      </c>
      <c r="AB73" s="64">
        <f t="shared" si="42"/>
        <v>0</v>
      </c>
      <c r="AC73" s="63">
        <f t="shared" si="43"/>
        <v>0</v>
      </c>
      <c r="AD73" s="62">
        <f t="shared" si="40"/>
        <v>0</v>
      </c>
      <c r="AE73" s="61">
        <f t="shared" si="40"/>
        <v>0</v>
      </c>
      <c r="AF73" s="47" t="str">
        <f t="shared" si="41"/>
        <v>Sub 4</v>
      </c>
      <c r="AG73" s="53"/>
      <c r="AH73" s="53"/>
      <c r="AI73" s="53"/>
      <c r="AJ73" s="53"/>
      <c r="AK73" s="53"/>
      <c r="AL73" s="53"/>
      <c r="AM73" s="53"/>
      <c r="AN73" s="53"/>
      <c r="AO73" s="53"/>
      <c r="AP73" s="53"/>
      <c r="AQ73" s="53"/>
      <c r="AR73" s="53"/>
      <c r="AS73" s="53"/>
      <c r="AT73" s="53"/>
      <c r="AU73" s="53"/>
      <c r="AV73" s="52"/>
      <c r="AW73" s="51"/>
      <c r="AZ73" s="46" t="str">
        <f t="shared" si="36"/>
        <v>0</v>
      </c>
      <c r="BA73" s="46" t="str">
        <f t="shared" si="37"/>
        <v>0</v>
      </c>
    </row>
    <row r="74" spans="5:53">
      <c r="O74" s="45"/>
      <c r="P74" s="45"/>
      <c r="R74" s="67" t="s">
        <v>245</v>
      </c>
      <c r="S74" s="66"/>
      <c r="T74" s="66"/>
      <c r="U74" s="45"/>
      <c r="V74" s="45"/>
      <c r="W74" s="45"/>
      <c r="X74" s="45"/>
      <c r="Y74" s="45"/>
      <c r="Z74" s="64">
        <f t="shared" si="38"/>
        <v>0</v>
      </c>
      <c r="AA74" s="65">
        <f t="shared" si="39"/>
        <v>0</v>
      </c>
      <c r="AB74" s="64">
        <f t="shared" si="42"/>
        <v>0</v>
      </c>
      <c r="AC74" s="63">
        <f t="shared" si="43"/>
        <v>0</v>
      </c>
      <c r="AD74" s="62">
        <f t="shared" si="40"/>
        <v>0</v>
      </c>
      <c r="AE74" s="61">
        <f t="shared" si="40"/>
        <v>0</v>
      </c>
      <c r="AF74" s="47" t="str">
        <f t="shared" si="41"/>
        <v>Sub 5</v>
      </c>
      <c r="AG74" s="53"/>
      <c r="AH74" s="53"/>
      <c r="AI74" s="53"/>
      <c r="AJ74" s="53"/>
      <c r="AK74" s="53"/>
      <c r="AL74" s="53"/>
      <c r="AM74" s="53"/>
      <c r="AN74" s="53"/>
      <c r="AO74" s="53"/>
      <c r="AP74" s="53"/>
      <c r="AQ74" s="53"/>
      <c r="AR74" s="53"/>
      <c r="AS74" s="53"/>
      <c r="AT74" s="53"/>
      <c r="AU74" s="53"/>
      <c r="AV74" s="52"/>
      <c r="AW74" s="51"/>
      <c r="AZ74" s="46" t="str">
        <f t="shared" si="36"/>
        <v>0</v>
      </c>
      <c r="BA74" s="46" t="str">
        <f t="shared" si="37"/>
        <v>0</v>
      </c>
    </row>
    <row r="75" spans="5:53">
      <c r="O75" s="45"/>
      <c r="P75" s="45"/>
      <c r="R75" s="67" t="s">
        <v>246</v>
      </c>
      <c r="S75" s="66"/>
      <c r="T75" s="66"/>
      <c r="U75" s="45"/>
      <c r="V75" s="45"/>
      <c r="W75" s="45"/>
      <c r="X75" s="45"/>
      <c r="Y75" s="45"/>
      <c r="Z75" s="64">
        <f t="shared" si="38"/>
        <v>0</v>
      </c>
      <c r="AA75" s="65">
        <f t="shared" si="39"/>
        <v>0</v>
      </c>
      <c r="AB75" s="64">
        <f t="shared" si="42"/>
        <v>0</v>
      </c>
      <c r="AC75" s="63">
        <f t="shared" si="43"/>
        <v>0</v>
      </c>
      <c r="AD75" s="62">
        <f t="shared" si="40"/>
        <v>0</v>
      </c>
      <c r="AE75" s="61">
        <f t="shared" si="40"/>
        <v>0</v>
      </c>
      <c r="AF75" s="47" t="str">
        <f t="shared" si="41"/>
        <v>Sub 6</v>
      </c>
      <c r="AG75" s="53"/>
      <c r="AH75" s="53"/>
      <c r="AI75" s="53"/>
      <c r="AJ75" s="53"/>
      <c r="AK75" s="53"/>
      <c r="AL75" s="53"/>
      <c r="AM75" s="53"/>
      <c r="AN75" s="53"/>
      <c r="AO75" s="53"/>
      <c r="AP75" s="53"/>
      <c r="AQ75" s="53"/>
      <c r="AR75" s="53"/>
      <c r="AS75" s="53"/>
      <c r="AT75" s="53"/>
      <c r="AU75" s="53"/>
      <c r="AV75" s="52"/>
      <c r="AW75" s="51"/>
      <c r="AZ75" s="46" t="str">
        <f t="shared" si="36"/>
        <v>0</v>
      </c>
      <c r="BA75" s="46" t="str">
        <f t="shared" si="37"/>
        <v>0</v>
      </c>
    </row>
    <row r="76" spans="5:53">
      <c r="O76" s="45"/>
      <c r="P76" s="45"/>
      <c r="R76" s="67" t="s">
        <v>247</v>
      </c>
      <c r="S76" s="66"/>
      <c r="T76" s="66"/>
      <c r="U76" s="45"/>
      <c r="V76" s="45"/>
      <c r="W76" s="45"/>
      <c r="X76" s="45"/>
      <c r="Y76" s="45"/>
      <c r="Z76" s="64">
        <f t="shared" si="38"/>
        <v>0</v>
      </c>
      <c r="AA76" s="65">
        <f t="shared" si="39"/>
        <v>0</v>
      </c>
      <c r="AB76" s="64">
        <f t="shared" si="42"/>
        <v>0</v>
      </c>
      <c r="AC76" s="63">
        <f t="shared" si="43"/>
        <v>0</v>
      </c>
      <c r="AD76" s="62">
        <f t="shared" si="40"/>
        <v>0</v>
      </c>
      <c r="AE76" s="61">
        <f t="shared" si="40"/>
        <v>0</v>
      </c>
      <c r="AF76" s="47" t="str">
        <f t="shared" si="41"/>
        <v>Sub 7</v>
      </c>
      <c r="AG76" s="53"/>
      <c r="AH76" s="53"/>
      <c r="AI76" s="53"/>
      <c r="AJ76" s="53"/>
      <c r="AK76" s="53"/>
      <c r="AL76" s="53"/>
      <c r="AM76" s="53"/>
      <c r="AN76" s="53"/>
      <c r="AO76" s="53"/>
      <c r="AP76" s="53"/>
      <c r="AQ76" s="53"/>
      <c r="AR76" s="53"/>
      <c r="AS76" s="53"/>
      <c r="AT76" s="53"/>
      <c r="AU76" s="53"/>
      <c r="AV76" s="52"/>
      <c r="AW76" s="51"/>
      <c r="AZ76" s="46" t="str">
        <f t="shared" si="36"/>
        <v>0</v>
      </c>
      <c r="BA76" s="46" t="str">
        <f t="shared" si="37"/>
        <v>0</v>
      </c>
    </row>
    <row r="77" spans="5:53">
      <c r="O77" s="45"/>
      <c r="P77" s="45"/>
      <c r="R77" s="67" t="s">
        <v>248</v>
      </c>
      <c r="S77" s="66"/>
      <c r="T77" s="66"/>
      <c r="U77" s="45"/>
      <c r="V77" s="45"/>
      <c r="W77" s="45"/>
      <c r="X77" s="45"/>
      <c r="Y77" s="45"/>
      <c r="Z77" s="64">
        <f t="shared" si="38"/>
        <v>0</v>
      </c>
      <c r="AA77" s="65">
        <f t="shared" si="39"/>
        <v>0</v>
      </c>
      <c r="AB77" s="64">
        <f t="shared" si="42"/>
        <v>0</v>
      </c>
      <c r="AC77" s="63">
        <f t="shared" si="43"/>
        <v>0</v>
      </c>
      <c r="AD77" s="62">
        <f t="shared" si="40"/>
        <v>0</v>
      </c>
      <c r="AE77" s="61">
        <f t="shared" si="40"/>
        <v>0</v>
      </c>
      <c r="AF77" s="47" t="str">
        <f t="shared" si="41"/>
        <v>Sub 8</v>
      </c>
      <c r="AG77" s="53"/>
      <c r="AH77" s="53"/>
      <c r="AI77" s="53"/>
      <c r="AJ77" s="53"/>
      <c r="AK77" s="53"/>
      <c r="AL77" s="53"/>
      <c r="AM77" s="53"/>
      <c r="AN77" s="53"/>
      <c r="AO77" s="53"/>
      <c r="AP77" s="53"/>
      <c r="AQ77" s="53"/>
      <c r="AR77" s="53"/>
      <c r="AS77" s="53"/>
      <c r="AT77" s="53"/>
      <c r="AU77" s="53"/>
      <c r="AV77" s="52"/>
      <c r="AW77" s="51"/>
      <c r="AZ77" s="46" t="str">
        <f t="shared" si="36"/>
        <v>0</v>
      </c>
      <c r="BA77" s="46" t="str">
        <f t="shared" si="37"/>
        <v>0</v>
      </c>
    </row>
    <row r="78" spans="5:53">
      <c r="O78" s="45"/>
      <c r="P78" s="45"/>
      <c r="R78" s="67" t="s">
        <v>249</v>
      </c>
      <c r="S78" s="66"/>
      <c r="T78" s="66"/>
      <c r="U78" s="45"/>
      <c r="V78" s="45"/>
      <c r="W78" s="45"/>
      <c r="X78" s="45"/>
      <c r="Y78" s="45"/>
      <c r="Z78" s="64">
        <f t="shared" si="38"/>
        <v>0</v>
      </c>
      <c r="AA78" s="65">
        <f t="shared" si="39"/>
        <v>0</v>
      </c>
      <c r="AB78" s="64">
        <f t="shared" si="42"/>
        <v>0</v>
      </c>
      <c r="AC78" s="63">
        <f t="shared" si="43"/>
        <v>0</v>
      </c>
      <c r="AD78" s="62">
        <f t="shared" si="40"/>
        <v>0</v>
      </c>
      <c r="AE78" s="61">
        <f t="shared" si="40"/>
        <v>0</v>
      </c>
      <c r="AF78" s="47" t="str">
        <f t="shared" si="41"/>
        <v>Sub 9</v>
      </c>
      <c r="AG78" s="53"/>
      <c r="AH78" s="53"/>
      <c r="AI78" s="53"/>
      <c r="AJ78" s="53"/>
      <c r="AK78" s="53"/>
      <c r="AL78" s="53"/>
      <c r="AM78" s="53"/>
      <c r="AN78" s="53"/>
      <c r="AO78" s="53"/>
      <c r="AP78" s="53"/>
      <c r="AQ78" s="53"/>
      <c r="AR78" s="53"/>
      <c r="AS78" s="53"/>
      <c r="AT78" s="53"/>
      <c r="AU78" s="53"/>
      <c r="AV78" s="52"/>
      <c r="AW78" s="51"/>
      <c r="AZ78" s="46" t="str">
        <f t="shared" si="36"/>
        <v>0</v>
      </c>
      <c r="BA78" s="46" t="str">
        <f t="shared" si="37"/>
        <v>0</v>
      </c>
    </row>
    <row r="79" spans="5:53">
      <c r="O79" s="45"/>
      <c r="P79" s="45"/>
      <c r="R79" s="67" t="s">
        <v>250</v>
      </c>
      <c r="S79" s="66"/>
      <c r="T79" s="66"/>
      <c r="U79" s="45"/>
      <c r="V79" s="45"/>
      <c r="W79" s="45"/>
      <c r="X79" s="45"/>
      <c r="Y79" s="45"/>
      <c r="Z79" s="64">
        <f t="shared" si="38"/>
        <v>0</v>
      </c>
      <c r="AA79" s="65">
        <f t="shared" si="39"/>
        <v>0</v>
      </c>
      <c r="AB79" s="64">
        <f t="shared" si="42"/>
        <v>0</v>
      </c>
      <c r="AC79" s="63">
        <f t="shared" si="43"/>
        <v>0</v>
      </c>
      <c r="AD79" s="62">
        <f t="shared" si="40"/>
        <v>0</v>
      </c>
      <c r="AE79" s="61">
        <f t="shared" si="40"/>
        <v>0</v>
      </c>
      <c r="AF79" s="47" t="str">
        <f t="shared" si="41"/>
        <v>Sub 10</v>
      </c>
      <c r="AG79" s="53"/>
      <c r="AH79" s="53"/>
      <c r="AI79" s="53"/>
      <c r="AJ79" s="53"/>
      <c r="AK79" s="53"/>
      <c r="AL79" s="53"/>
      <c r="AM79" s="53"/>
      <c r="AN79" s="53"/>
      <c r="AO79" s="53"/>
      <c r="AP79" s="53"/>
      <c r="AQ79" s="53"/>
      <c r="AR79" s="53"/>
      <c r="AS79" s="53"/>
      <c r="AT79" s="53"/>
      <c r="AU79" s="53"/>
      <c r="AV79" s="52"/>
      <c r="AW79" s="51"/>
      <c r="AZ79" s="46" t="str">
        <f t="shared" si="36"/>
        <v>0</v>
      </c>
      <c r="BA79" s="46" t="str">
        <f t="shared" si="37"/>
        <v>0</v>
      </c>
    </row>
    <row r="80" spans="5:53">
      <c r="O80" s="45"/>
      <c r="P80" s="45"/>
      <c r="R80" s="67" t="s">
        <v>251</v>
      </c>
      <c r="S80" s="66"/>
      <c r="T80" s="66"/>
      <c r="U80" s="45"/>
      <c r="V80" s="45"/>
      <c r="W80" s="45"/>
      <c r="X80" s="45"/>
      <c r="Y80" s="45"/>
      <c r="Z80" s="64">
        <f t="shared" si="38"/>
        <v>0</v>
      </c>
      <c r="AA80" s="65">
        <f t="shared" si="39"/>
        <v>0</v>
      </c>
      <c r="AB80" s="64">
        <f t="shared" si="42"/>
        <v>0</v>
      </c>
      <c r="AC80" s="63">
        <f t="shared" si="43"/>
        <v>0</v>
      </c>
      <c r="AD80" s="62">
        <f t="shared" si="40"/>
        <v>0</v>
      </c>
      <c r="AE80" s="61">
        <f t="shared" si="40"/>
        <v>0</v>
      </c>
      <c r="AF80" s="47" t="str">
        <f t="shared" si="41"/>
        <v>Sub 11</v>
      </c>
      <c r="AG80" s="53"/>
      <c r="AH80" s="53"/>
      <c r="AI80" s="53"/>
      <c r="AJ80" s="53"/>
      <c r="AK80" s="53"/>
      <c r="AL80" s="53"/>
      <c r="AM80" s="53"/>
      <c r="AN80" s="53"/>
      <c r="AO80" s="53"/>
      <c r="AP80" s="53"/>
      <c r="AQ80" s="53"/>
      <c r="AR80" s="53"/>
      <c r="AS80" s="53"/>
      <c r="AT80" s="53"/>
      <c r="AU80" s="53"/>
      <c r="AV80" s="52"/>
      <c r="AW80" s="51"/>
      <c r="AZ80" s="46" t="str">
        <f t="shared" si="36"/>
        <v>0</v>
      </c>
      <c r="BA80" s="46" t="str">
        <f t="shared" si="37"/>
        <v>0</v>
      </c>
    </row>
    <row r="81" spans="15:53" s="45" customFormat="1">
      <c r="Q81" s="47"/>
      <c r="R81" s="67" t="s">
        <v>252</v>
      </c>
      <c r="S81" s="66"/>
      <c r="T81" s="66"/>
      <c r="Z81" s="64">
        <f t="shared" si="38"/>
        <v>0</v>
      </c>
      <c r="AA81" s="65">
        <f t="shared" si="39"/>
        <v>0</v>
      </c>
      <c r="AB81" s="64">
        <f t="shared" si="42"/>
        <v>0</v>
      </c>
      <c r="AC81" s="63">
        <f t="shared" si="43"/>
        <v>0</v>
      </c>
      <c r="AD81" s="62">
        <f t="shared" si="40"/>
        <v>0</v>
      </c>
      <c r="AE81" s="61">
        <f t="shared" si="40"/>
        <v>0</v>
      </c>
      <c r="AF81" s="47" t="str">
        <f t="shared" si="41"/>
        <v>Sub 12</v>
      </c>
      <c r="AG81" s="53"/>
      <c r="AH81" s="53"/>
      <c r="AI81" s="53"/>
      <c r="AJ81" s="53"/>
      <c r="AK81" s="53"/>
      <c r="AL81" s="53"/>
      <c r="AM81" s="53"/>
      <c r="AN81" s="53"/>
      <c r="AO81" s="53"/>
      <c r="AP81" s="53"/>
      <c r="AQ81" s="53"/>
      <c r="AR81" s="53"/>
      <c r="AS81" s="53"/>
      <c r="AT81" s="53"/>
      <c r="AU81" s="53"/>
      <c r="AV81" s="52"/>
      <c r="AW81" s="51"/>
      <c r="AZ81" s="46" t="str">
        <f t="shared" si="36"/>
        <v>0</v>
      </c>
      <c r="BA81" s="46" t="str">
        <f t="shared" si="37"/>
        <v>0</v>
      </c>
    </row>
    <row r="82" spans="15:53" s="45" customFormat="1">
      <c r="Q82" s="47"/>
      <c r="R82" s="67" t="s">
        <v>253</v>
      </c>
      <c r="S82" s="66"/>
      <c r="T82" s="66"/>
      <c r="Z82" s="64">
        <f t="shared" si="38"/>
        <v>0</v>
      </c>
      <c r="AA82" s="65">
        <f t="shared" si="39"/>
        <v>0</v>
      </c>
      <c r="AB82" s="64">
        <f t="shared" si="42"/>
        <v>0</v>
      </c>
      <c r="AC82" s="63">
        <f t="shared" si="43"/>
        <v>0</v>
      </c>
      <c r="AD82" s="62">
        <f t="shared" si="40"/>
        <v>0</v>
      </c>
      <c r="AE82" s="61">
        <f t="shared" si="40"/>
        <v>0</v>
      </c>
      <c r="AF82" s="47" t="str">
        <f t="shared" si="41"/>
        <v>Sub 13</v>
      </c>
      <c r="AG82" s="53"/>
      <c r="AH82" s="53"/>
      <c r="AI82" s="53"/>
      <c r="AJ82" s="53"/>
      <c r="AK82" s="53"/>
      <c r="AL82" s="53"/>
      <c r="AM82" s="53"/>
      <c r="AN82" s="53"/>
      <c r="AO82" s="53"/>
      <c r="AP82" s="53"/>
      <c r="AQ82" s="53"/>
      <c r="AR82" s="53"/>
      <c r="AS82" s="53"/>
      <c r="AT82" s="53"/>
      <c r="AU82" s="53"/>
      <c r="AV82" s="52"/>
      <c r="AW82" s="51"/>
      <c r="AZ82" s="46" t="str">
        <f t="shared" si="36"/>
        <v>0</v>
      </c>
      <c r="BA82" s="46" t="str">
        <f t="shared" si="37"/>
        <v>0</v>
      </c>
    </row>
    <row r="83" spans="15:53" s="45" customFormat="1">
      <c r="Q83" s="47"/>
      <c r="R83" s="67" t="s">
        <v>254</v>
      </c>
      <c r="S83" s="66"/>
      <c r="T83" s="66"/>
      <c r="Z83" s="64">
        <f t="shared" si="38"/>
        <v>0</v>
      </c>
      <c r="AA83" s="65">
        <f t="shared" si="39"/>
        <v>0</v>
      </c>
      <c r="AB83" s="64">
        <f t="shared" si="42"/>
        <v>0</v>
      </c>
      <c r="AC83" s="63">
        <f t="shared" si="43"/>
        <v>0</v>
      </c>
      <c r="AD83" s="62">
        <f t="shared" si="40"/>
        <v>0</v>
      </c>
      <c r="AE83" s="61">
        <f t="shared" si="40"/>
        <v>0</v>
      </c>
      <c r="AF83" s="47" t="str">
        <f t="shared" si="41"/>
        <v>Sub 14</v>
      </c>
      <c r="AG83" s="53"/>
      <c r="AH83" s="53"/>
      <c r="AI83" s="53"/>
      <c r="AJ83" s="53"/>
      <c r="AK83" s="53"/>
      <c r="AL83" s="53"/>
      <c r="AM83" s="53"/>
      <c r="AN83" s="53"/>
      <c r="AO83" s="53"/>
      <c r="AP83" s="53"/>
      <c r="AQ83" s="53"/>
      <c r="AR83" s="53"/>
      <c r="AS83" s="53"/>
      <c r="AT83" s="53"/>
      <c r="AU83" s="53"/>
      <c r="AV83" s="52"/>
      <c r="AW83" s="51"/>
      <c r="AZ83" s="46" t="str">
        <f t="shared" si="36"/>
        <v>0</v>
      </c>
      <c r="BA83" s="46" t="str">
        <f t="shared" si="37"/>
        <v>0</v>
      </c>
    </row>
    <row r="84" spans="15:53" s="45" customFormat="1">
      <c r="Q84" s="47"/>
      <c r="R84" s="67" t="s">
        <v>255</v>
      </c>
      <c r="S84" s="66"/>
      <c r="T84" s="66"/>
      <c r="Z84" s="64">
        <f t="shared" si="38"/>
        <v>0</v>
      </c>
      <c r="AA84" s="65">
        <f t="shared" si="39"/>
        <v>0</v>
      </c>
      <c r="AB84" s="64">
        <f t="shared" si="42"/>
        <v>0</v>
      </c>
      <c r="AC84" s="63">
        <f t="shared" si="43"/>
        <v>0</v>
      </c>
      <c r="AD84" s="62">
        <f t="shared" si="40"/>
        <v>0</v>
      </c>
      <c r="AE84" s="61">
        <f t="shared" si="40"/>
        <v>0</v>
      </c>
      <c r="AF84" s="47" t="str">
        <f t="shared" si="41"/>
        <v>Sub 15</v>
      </c>
      <c r="AG84" s="53"/>
      <c r="AH84" s="53"/>
      <c r="AI84" s="53"/>
      <c r="AJ84" s="53"/>
      <c r="AK84" s="53"/>
      <c r="AL84" s="53"/>
      <c r="AM84" s="53"/>
      <c r="AN84" s="53"/>
      <c r="AO84" s="53"/>
      <c r="AP84" s="53"/>
      <c r="AQ84" s="53"/>
      <c r="AR84" s="53"/>
      <c r="AS84" s="53"/>
      <c r="AT84" s="53"/>
      <c r="AU84" s="53"/>
      <c r="AV84" s="52"/>
      <c r="AW84" s="51"/>
      <c r="AZ84" s="46" t="str">
        <f t="shared" si="36"/>
        <v>0</v>
      </c>
      <c r="BA84" s="46" t="str">
        <f t="shared" si="37"/>
        <v>0</v>
      </c>
    </row>
    <row r="85" spans="15:53" s="45" customFormat="1">
      <c r="Q85" s="47"/>
      <c r="R85" s="67" t="s">
        <v>256</v>
      </c>
      <c r="S85" s="66"/>
      <c r="T85" s="66"/>
      <c r="Z85" s="64">
        <f t="shared" si="38"/>
        <v>0</v>
      </c>
      <c r="AA85" s="65">
        <f t="shared" si="39"/>
        <v>0</v>
      </c>
      <c r="AB85" s="64">
        <f t="shared" si="42"/>
        <v>0</v>
      </c>
      <c r="AC85" s="63">
        <f t="shared" si="43"/>
        <v>0</v>
      </c>
      <c r="AD85" s="62">
        <f t="shared" si="40"/>
        <v>0</v>
      </c>
      <c r="AE85" s="61">
        <f t="shared" si="40"/>
        <v>0</v>
      </c>
      <c r="AF85" s="47" t="str">
        <f t="shared" si="41"/>
        <v>Sub 16</v>
      </c>
      <c r="AG85" s="53"/>
      <c r="AH85" s="53"/>
      <c r="AI85" s="53"/>
      <c r="AJ85" s="53"/>
      <c r="AK85" s="53"/>
      <c r="AL85" s="53"/>
      <c r="AM85" s="53"/>
      <c r="AN85" s="53"/>
      <c r="AO85" s="53"/>
      <c r="AP85" s="53"/>
      <c r="AQ85" s="53"/>
      <c r="AR85" s="53"/>
      <c r="AS85" s="53"/>
      <c r="AT85" s="53"/>
      <c r="AU85" s="53"/>
      <c r="AV85" s="52"/>
      <c r="AW85" s="51"/>
      <c r="AZ85" s="46" t="str">
        <f t="shared" si="36"/>
        <v>0</v>
      </c>
      <c r="BA85" s="46" t="str">
        <f t="shared" si="37"/>
        <v>0</v>
      </c>
    </row>
    <row r="86" spans="15:53" s="45" customFormat="1">
      <c r="Q86" s="47"/>
      <c r="R86" s="67" t="s">
        <v>257</v>
      </c>
      <c r="S86" s="66"/>
      <c r="T86" s="66"/>
      <c r="Z86" s="64">
        <f t="shared" si="38"/>
        <v>0</v>
      </c>
      <c r="AA86" s="65">
        <f t="shared" si="39"/>
        <v>0</v>
      </c>
      <c r="AB86" s="64">
        <f t="shared" si="42"/>
        <v>0</v>
      </c>
      <c r="AC86" s="63">
        <f t="shared" si="43"/>
        <v>0</v>
      </c>
      <c r="AD86" s="62">
        <f t="shared" si="40"/>
        <v>0</v>
      </c>
      <c r="AE86" s="61">
        <f t="shared" si="40"/>
        <v>0</v>
      </c>
      <c r="AF86" s="47" t="str">
        <f t="shared" si="41"/>
        <v>Sub 17</v>
      </c>
      <c r="AG86" s="53"/>
      <c r="AH86" s="53"/>
      <c r="AI86" s="53"/>
      <c r="AJ86" s="53"/>
      <c r="AK86" s="53"/>
      <c r="AL86" s="53"/>
      <c r="AM86" s="53"/>
      <c r="AN86" s="53"/>
      <c r="AO86" s="53"/>
      <c r="AP86" s="53"/>
      <c r="AQ86" s="53"/>
      <c r="AR86" s="53"/>
      <c r="AS86" s="53"/>
      <c r="AT86" s="53"/>
      <c r="AU86" s="53"/>
      <c r="AV86" s="52"/>
      <c r="AW86" s="51"/>
      <c r="AZ86" s="46" t="str">
        <f t="shared" si="36"/>
        <v>0</v>
      </c>
      <c r="BA86" s="46" t="str">
        <f t="shared" si="37"/>
        <v>0</v>
      </c>
    </row>
    <row r="87" spans="15:53" s="45" customFormat="1">
      <c r="Q87" s="47"/>
      <c r="R87" s="67" t="s">
        <v>258</v>
      </c>
      <c r="S87" s="66"/>
      <c r="T87" s="66"/>
      <c r="Z87" s="64">
        <f t="shared" si="38"/>
        <v>0</v>
      </c>
      <c r="AA87" s="65">
        <f t="shared" si="39"/>
        <v>0</v>
      </c>
      <c r="AB87" s="64">
        <f t="shared" si="42"/>
        <v>0</v>
      </c>
      <c r="AC87" s="63">
        <f t="shared" si="43"/>
        <v>0</v>
      </c>
      <c r="AD87" s="62">
        <f t="shared" si="40"/>
        <v>0</v>
      </c>
      <c r="AE87" s="61">
        <f t="shared" si="40"/>
        <v>0</v>
      </c>
      <c r="AF87" s="47" t="str">
        <f t="shared" si="41"/>
        <v>Sub 18</v>
      </c>
      <c r="AG87" s="53"/>
      <c r="AH87" s="53"/>
      <c r="AI87" s="53"/>
      <c r="AJ87" s="53"/>
      <c r="AK87" s="53"/>
      <c r="AL87" s="53"/>
      <c r="AM87" s="53"/>
      <c r="AN87" s="53"/>
      <c r="AO87" s="53"/>
      <c r="AP87" s="53"/>
      <c r="AQ87" s="53"/>
      <c r="AR87" s="53"/>
      <c r="AS87" s="53"/>
      <c r="AT87" s="53"/>
      <c r="AU87" s="53"/>
      <c r="AV87" s="52"/>
      <c r="AW87" s="51"/>
      <c r="AZ87" s="46" t="str">
        <f t="shared" si="36"/>
        <v>0</v>
      </c>
      <c r="BA87" s="46" t="str">
        <f t="shared" si="37"/>
        <v>0</v>
      </c>
    </row>
    <row r="88" spans="15:53" s="45" customFormat="1">
      <c r="Q88" s="47"/>
      <c r="R88" s="67" t="s">
        <v>259</v>
      </c>
      <c r="S88" s="66"/>
      <c r="T88" s="66"/>
      <c r="Z88" s="64">
        <f t="shared" si="38"/>
        <v>0</v>
      </c>
      <c r="AA88" s="65">
        <f t="shared" si="39"/>
        <v>0</v>
      </c>
      <c r="AB88" s="64">
        <f t="shared" si="42"/>
        <v>0</v>
      </c>
      <c r="AC88" s="63">
        <f t="shared" si="43"/>
        <v>0</v>
      </c>
      <c r="AD88" s="62">
        <f t="shared" si="40"/>
        <v>0</v>
      </c>
      <c r="AE88" s="61">
        <f t="shared" si="40"/>
        <v>0</v>
      </c>
      <c r="AF88" s="47" t="str">
        <f t="shared" si="41"/>
        <v>Sub 19</v>
      </c>
      <c r="AG88" s="53"/>
      <c r="AH88" s="53"/>
      <c r="AI88" s="53"/>
      <c r="AJ88" s="53"/>
      <c r="AK88" s="53"/>
      <c r="AL88" s="53"/>
      <c r="AM88" s="53"/>
      <c r="AN88" s="53"/>
      <c r="AO88" s="53"/>
      <c r="AP88" s="53"/>
      <c r="AQ88" s="53"/>
      <c r="AR88" s="53"/>
      <c r="AS88" s="53"/>
      <c r="AT88" s="53"/>
      <c r="AU88" s="53"/>
      <c r="AV88" s="52"/>
      <c r="AW88" s="51"/>
      <c r="AZ88" s="46" t="str">
        <f t="shared" si="36"/>
        <v>0</v>
      </c>
      <c r="BA88" s="46" t="str">
        <f t="shared" si="37"/>
        <v>0</v>
      </c>
    </row>
    <row r="89" spans="15:53" s="45" customFormat="1">
      <c r="Q89" s="47"/>
      <c r="R89" s="67" t="s">
        <v>260</v>
      </c>
      <c r="S89" s="66"/>
      <c r="T89" s="66"/>
      <c r="Z89" s="64">
        <f t="shared" si="38"/>
        <v>0</v>
      </c>
      <c r="AA89" s="65">
        <f t="shared" si="39"/>
        <v>0</v>
      </c>
      <c r="AB89" s="64">
        <f t="shared" si="42"/>
        <v>0</v>
      </c>
      <c r="AC89" s="63">
        <f t="shared" si="43"/>
        <v>0</v>
      </c>
      <c r="AD89" s="62">
        <f t="shared" si="40"/>
        <v>0</v>
      </c>
      <c r="AE89" s="61">
        <f t="shared" si="40"/>
        <v>0</v>
      </c>
      <c r="AF89" s="47" t="str">
        <f t="shared" si="41"/>
        <v>Sub 20</v>
      </c>
      <c r="AG89" s="53"/>
      <c r="AH89" s="53"/>
      <c r="AI89" s="53"/>
      <c r="AJ89" s="53"/>
      <c r="AK89" s="53"/>
      <c r="AL89" s="53"/>
      <c r="AM89" s="53"/>
      <c r="AN89" s="53"/>
      <c r="AO89" s="53"/>
      <c r="AP89" s="53"/>
      <c r="AQ89" s="53"/>
      <c r="AR89" s="53"/>
      <c r="AS89" s="53"/>
      <c r="AT89" s="53"/>
      <c r="AU89" s="53"/>
      <c r="AV89" s="52"/>
      <c r="AW89" s="51"/>
      <c r="AZ89" s="46" t="str">
        <f t="shared" si="36"/>
        <v>0</v>
      </c>
      <c r="BA89" s="46" t="str">
        <f t="shared" si="37"/>
        <v>0</v>
      </c>
    </row>
    <row r="90" spans="15:53" s="45" customFormat="1" ht="13.5" thickBot="1">
      <c r="O90" s="60"/>
      <c r="P90" s="60"/>
      <c r="Q90" s="47"/>
      <c r="R90" s="58" t="s">
        <v>97</v>
      </c>
      <c r="S90" s="60"/>
      <c r="T90" s="60"/>
      <c r="U90" s="60"/>
      <c r="V90" s="60"/>
      <c r="W90" s="60"/>
      <c r="X90" s="60"/>
      <c r="Y90" s="60"/>
      <c r="Z90" s="58"/>
      <c r="AA90" s="59"/>
      <c r="AB90" s="58"/>
      <c r="AC90" s="57"/>
      <c r="AD90" s="56">
        <f>SUM(AD69:AD89)</f>
        <v>1060</v>
      </c>
      <c r="AE90" s="55">
        <f ca="1">SUM(AE69:AE89)</f>
        <v>88519.520000000019</v>
      </c>
      <c r="AF90" s="47"/>
      <c r="AG90" s="54"/>
      <c r="AH90" s="54"/>
      <c r="AI90" s="54"/>
      <c r="AJ90" s="54"/>
      <c r="AK90" s="54"/>
      <c r="AL90" s="54"/>
      <c r="AM90" s="54"/>
      <c r="AN90" s="54"/>
      <c r="AO90" s="54"/>
      <c r="AP90" s="54"/>
      <c r="AQ90" s="54"/>
      <c r="AR90" s="54"/>
      <c r="AS90" s="54"/>
      <c r="AT90" s="54"/>
      <c r="AU90" s="53"/>
      <c r="AV90" s="52"/>
      <c r="AW90" s="51"/>
      <c r="AZ90" s="46" t="str">
        <f t="shared" si="36"/>
        <v>1</v>
      </c>
      <c r="BA90" s="46" t="str">
        <f t="shared" ca="1" si="37"/>
        <v>1</v>
      </c>
    </row>
    <row r="91" spans="15:53" s="45" customFormat="1" ht="13.5" thickTop="1">
      <c r="O91" s="49"/>
      <c r="P91" s="49"/>
      <c r="Q91" s="47"/>
      <c r="R91" s="50"/>
      <c r="S91" s="49"/>
      <c r="T91" s="49"/>
      <c r="U91" s="49"/>
      <c r="V91" s="49"/>
      <c r="W91" s="49"/>
      <c r="X91" s="49"/>
      <c r="Y91" s="49"/>
      <c r="Z91" s="49"/>
      <c r="AA91" s="49"/>
      <c r="AB91" s="49"/>
      <c r="AC91" s="49"/>
      <c r="AD91" s="49"/>
      <c r="AE91" s="48"/>
      <c r="AF91" s="47"/>
      <c r="AG91" s="47"/>
      <c r="AH91" s="47"/>
      <c r="AI91" s="47"/>
      <c r="AJ91" s="47"/>
      <c r="AK91" s="47"/>
      <c r="AL91" s="47"/>
      <c r="AM91" s="47"/>
      <c r="AN91" s="47"/>
      <c r="AO91" s="47"/>
      <c r="AP91" s="47"/>
      <c r="AQ91" s="47"/>
      <c r="AR91" s="47"/>
      <c r="AS91" s="47"/>
      <c r="AT91" s="47"/>
      <c r="AV91" s="47"/>
      <c r="AZ91" s="46" t="str">
        <f t="shared" si="36"/>
        <v>1</v>
      </c>
      <c r="BA91" s="46" t="str">
        <f t="shared" si="37"/>
        <v>1</v>
      </c>
    </row>
  </sheetData>
  <autoFilter ref="AZ29:BA29"/>
  <mergeCells count="1">
    <mergeCell ref="F2:L2"/>
  </mergeCells>
  <conditionalFormatting sqref="R24:U24">
    <cfRule type="cellIs" dxfId="1" priority="1" stopIfTrue="1" operator="greaterThan">
      <formula>0</formula>
    </cfRule>
  </conditionalFormatting>
  <dataValidations count="2">
    <dataValidation type="list" allowBlank="1" showInputMessage="1" showErrorMessage="1" sqref="L32:L49 JH32:JH49 TD32:TD49 ACZ32:ACZ49 AMV32:AMV49 AWR32:AWR49 BGN32:BGN49 BQJ32:BQJ49 CAF32:CAF49 CKB32:CKB49 CTX32:CTX49 DDT32:DDT49 DNP32:DNP49 DXL32:DXL49 EHH32:EHH49 ERD32:ERD49 FAZ32:FAZ49 FKV32:FKV49 FUR32:FUR49 GEN32:GEN49 GOJ32:GOJ49 GYF32:GYF49 HIB32:HIB49 HRX32:HRX49 IBT32:IBT49 ILP32:ILP49 IVL32:IVL49 JFH32:JFH49 JPD32:JPD49 JYZ32:JYZ49 KIV32:KIV49 KSR32:KSR49 LCN32:LCN49 LMJ32:LMJ49 LWF32:LWF49 MGB32:MGB49 MPX32:MPX49 MZT32:MZT49 NJP32:NJP49 NTL32:NTL49 ODH32:ODH49 OND32:OND49 OWZ32:OWZ49 PGV32:PGV49 PQR32:PQR49 QAN32:QAN49 QKJ32:QKJ49 QUF32:QUF49 REB32:REB49 RNX32:RNX49 RXT32:RXT49 SHP32:SHP49 SRL32:SRL49 TBH32:TBH49 TLD32:TLD49 TUZ32:TUZ49 UEV32:UEV49 UOR32:UOR49 UYN32:UYN49 VIJ32:VIJ49 VSF32:VSF49 WCB32:WCB49 WLX32:WLX49 WVT32:WVT49 L65568:L65585 JH65568:JH65585 TD65568:TD65585 ACZ65568:ACZ65585 AMV65568:AMV65585 AWR65568:AWR65585 BGN65568:BGN65585 BQJ65568:BQJ65585 CAF65568:CAF65585 CKB65568:CKB65585 CTX65568:CTX65585 DDT65568:DDT65585 DNP65568:DNP65585 DXL65568:DXL65585 EHH65568:EHH65585 ERD65568:ERD65585 FAZ65568:FAZ65585 FKV65568:FKV65585 FUR65568:FUR65585 GEN65568:GEN65585 GOJ65568:GOJ65585 GYF65568:GYF65585 HIB65568:HIB65585 HRX65568:HRX65585 IBT65568:IBT65585 ILP65568:ILP65585 IVL65568:IVL65585 JFH65568:JFH65585 JPD65568:JPD65585 JYZ65568:JYZ65585 KIV65568:KIV65585 KSR65568:KSR65585 LCN65568:LCN65585 LMJ65568:LMJ65585 LWF65568:LWF65585 MGB65568:MGB65585 MPX65568:MPX65585 MZT65568:MZT65585 NJP65568:NJP65585 NTL65568:NTL65585 ODH65568:ODH65585 OND65568:OND65585 OWZ65568:OWZ65585 PGV65568:PGV65585 PQR65568:PQR65585 QAN65568:QAN65585 QKJ65568:QKJ65585 QUF65568:QUF65585 REB65568:REB65585 RNX65568:RNX65585 RXT65568:RXT65585 SHP65568:SHP65585 SRL65568:SRL65585 TBH65568:TBH65585 TLD65568:TLD65585 TUZ65568:TUZ65585 UEV65568:UEV65585 UOR65568:UOR65585 UYN65568:UYN65585 VIJ65568:VIJ65585 VSF65568:VSF65585 WCB65568:WCB65585 WLX65568:WLX65585 WVT65568:WVT65585 L131104:L131121 JH131104:JH131121 TD131104:TD131121 ACZ131104:ACZ131121 AMV131104:AMV131121 AWR131104:AWR131121 BGN131104:BGN131121 BQJ131104:BQJ131121 CAF131104:CAF131121 CKB131104:CKB131121 CTX131104:CTX131121 DDT131104:DDT131121 DNP131104:DNP131121 DXL131104:DXL131121 EHH131104:EHH131121 ERD131104:ERD131121 FAZ131104:FAZ131121 FKV131104:FKV131121 FUR131104:FUR131121 GEN131104:GEN131121 GOJ131104:GOJ131121 GYF131104:GYF131121 HIB131104:HIB131121 HRX131104:HRX131121 IBT131104:IBT131121 ILP131104:ILP131121 IVL131104:IVL131121 JFH131104:JFH131121 JPD131104:JPD131121 JYZ131104:JYZ131121 KIV131104:KIV131121 KSR131104:KSR131121 LCN131104:LCN131121 LMJ131104:LMJ131121 LWF131104:LWF131121 MGB131104:MGB131121 MPX131104:MPX131121 MZT131104:MZT131121 NJP131104:NJP131121 NTL131104:NTL131121 ODH131104:ODH131121 OND131104:OND131121 OWZ131104:OWZ131121 PGV131104:PGV131121 PQR131104:PQR131121 QAN131104:QAN131121 QKJ131104:QKJ131121 QUF131104:QUF131121 REB131104:REB131121 RNX131104:RNX131121 RXT131104:RXT131121 SHP131104:SHP131121 SRL131104:SRL131121 TBH131104:TBH131121 TLD131104:TLD131121 TUZ131104:TUZ131121 UEV131104:UEV131121 UOR131104:UOR131121 UYN131104:UYN131121 VIJ131104:VIJ131121 VSF131104:VSF131121 WCB131104:WCB131121 WLX131104:WLX131121 WVT131104:WVT131121 L196640:L196657 JH196640:JH196657 TD196640:TD196657 ACZ196640:ACZ196657 AMV196640:AMV196657 AWR196640:AWR196657 BGN196640:BGN196657 BQJ196640:BQJ196657 CAF196640:CAF196657 CKB196640:CKB196657 CTX196640:CTX196657 DDT196640:DDT196657 DNP196640:DNP196657 DXL196640:DXL196657 EHH196640:EHH196657 ERD196640:ERD196657 FAZ196640:FAZ196657 FKV196640:FKV196657 FUR196640:FUR196657 GEN196640:GEN196657 GOJ196640:GOJ196657 GYF196640:GYF196657 HIB196640:HIB196657 HRX196640:HRX196657 IBT196640:IBT196657 ILP196640:ILP196657 IVL196640:IVL196657 JFH196640:JFH196657 JPD196640:JPD196657 JYZ196640:JYZ196657 KIV196640:KIV196657 KSR196640:KSR196657 LCN196640:LCN196657 LMJ196640:LMJ196657 LWF196640:LWF196657 MGB196640:MGB196657 MPX196640:MPX196657 MZT196640:MZT196657 NJP196640:NJP196657 NTL196640:NTL196657 ODH196640:ODH196657 OND196640:OND196657 OWZ196640:OWZ196657 PGV196640:PGV196657 PQR196640:PQR196657 QAN196640:QAN196657 QKJ196640:QKJ196657 QUF196640:QUF196657 REB196640:REB196657 RNX196640:RNX196657 RXT196640:RXT196657 SHP196640:SHP196657 SRL196640:SRL196657 TBH196640:TBH196657 TLD196640:TLD196657 TUZ196640:TUZ196657 UEV196640:UEV196657 UOR196640:UOR196657 UYN196640:UYN196657 VIJ196640:VIJ196657 VSF196640:VSF196657 WCB196640:WCB196657 WLX196640:WLX196657 WVT196640:WVT196657 L262176:L262193 JH262176:JH262193 TD262176:TD262193 ACZ262176:ACZ262193 AMV262176:AMV262193 AWR262176:AWR262193 BGN262176:BGN262193 BQJ262176:BQJ262193 CAF262176:CAF262193 CKB262176:CKB262193 CTX262176:CTX262193 DDT262176:DDT262193 DNP262176:DNP262193 DXL262176:DXL262193 EHH262176:EHH262193 ERD262176:ERD262193 FAZ262176:FAZ262193 FKV262176:FKV262193 FUR262176:FUR262193 GEN262176:GEN262193 GOJ262176:GOJ262193 GYF262176:GYF262193 HIB262176:HIB262193 HRX262176:HRX262193 IBT262176:IBT262193 ILP262176:ILP262193 IVL262176:IVL262193 JFH262176:JFH262193 JPD262176:JPD262193 JYZ262176:JYZ262193 KIV262176:KIV262193 KSR262176:KSR262193 LCN262176:LCN262193 LMJ262176:LMJ262193 LWF262176:LWF262193 MGB262176:MGB262193 MPX262176:MPX262193 MZT262176:MZT262193 NJP262176:NJP262193 NTL262176:NTL262193 ODH262176:ODH262193 OND262176:OND262193 OWZ262176:OWZ262193 PGV262176:PGV262193 PQR262176:PQR262193 QAN262176:QAN262193 QKJ262176:QKJ262193 QUF262176:QUF262193 REB262176:REB262193 RNX262176:RNX262193 RXT262176:RXT262193 SHP262176:SHP262193 SRL262176:SRL262193 TBH262176:TBH262193 TLD262176:TLD262193 TUZ262176:TUZ262193 UEV262176:UEV262193 UOR262176:UOR262193 UYN262176:UYN262193 VIJ262176:VIJ262193 VSF262176:VSF262193 WCB262176:WCB262193 WLX262176:WLX262193 WVT262176:WVT262193 L327712:L327729 JH327712:JH327729 TD327712:TD327729 ACZ327712:ACZ327729 AMV327712:AMV327729 AWR327712:AWR327729 BGN327712:BGN327729 BQJ327712:BQJ327729 CAF327712:CAF327729 CKB327712:CKB327729 CTX327712:CTX327729 DDT327712:DDT327729 DNP327712:DNP327729 DXL327712:DXL327729 EHH327712:EHH327729 ERD327712:ERD327729 FAZ327712:FAZ327729 FKV327712:FKV327729 FUR327712:FUR327729 GEN327712:GEN327729 GOJ327712:GOJ327729 GYF327712:GYF327729 HIB327712:HIB327729 HRX327712:HRX327729 IBT327712:IBT327729 ILP327712:ILP327729 IVL327712:IVL327729 JFH327712:JFH327729 JPD327712:JPD327729 JYZ327712:JYZ327729 KIV327712:KIV327729 KSR327712:KSR327729 LCN327712:LCN327729 LMJ327712:LMJ327729 LWF327712:LWF327729 MGB327712:MGB327729 MPX327712:MPX327729 MZT327712:MZT327729 NJP327712:NJP327729 NTL327712:NTL327729 ODH327712:ODH327729 OND327712:OND327729 OWZ327712:OWZ327729 PGV327712:PGV327729 PQR327712:PQR327729 QAN327712:QAN327729 QKJ327712:QKJ327729 QUF327712:QUF327729 REB327712:REB327729 RNX327712:RNX327729 RXT327712:RXT327729 SHP327712:SHP327729 SRL327712:SRL327729 TBH327712:TBH327729 TLD327712:TLD327729 TUZ327712:TUZ327729 UEV327712:UEV327729 UOR327712:UOR327729 UYN327712:UYN327729 VIJ327712:VIJ327729 VSF327712:VSF327729 WCB327712:WCB327729 WLX327712:WLX327729 WVT327712:WVT327729 L393248:L393265 JH393248:JH393265 TD393248:TD393265 ACZ393248:ACZ393265 AMV393248:AMV393265 AWR393248:AWR393265 BGN393248:BGN393265 BQJ393248:BQJ393265 CAF393248:CAF393265 CKB393248:CKB393265 CTX393248:CTX393265 DDT393248:DDT393265 DNP393248:DNP393265 DXL393248:DXL393265 EHH393248:EHH393265 ERD393248:ERD393265 FAZ393248:FAZ393265 FKV393248:FKV393265 FUR393248:FUR393265 GEN393248:GEN393265 GOJ393248:GOJ393265 GYF393248:GYF393265 HIB393248:HIB393265 HRX393248:HRX393265 IBT393248:IBT393265 ILP393248:ILP393265 IVL393248:IVL393265 JFH393248:JFH393265 JPD393248:JPD393265 JYZ393248:JYZ393265 KIV393248:KIV393265 KSR393248:KSR393265 LCN393248:LCN393265 LMJ393248:LMJ393265 LWF393248:LWF393265 MGB393248:MGB393265 MPX393248:MPX393265 MZT393248:MZT393265 NJP393248:NJP393265 NTL393248:NTL393265 ODH393248:ODH393265 OND393248:OND393265 OWZ393248:OWZ393265 PGV393248:PGV393265 PQR393248:PQR393265 QAN393248:QAN393265 QKJ393248:QKJ393265 QUF393248:QUF393265 REB393248:REB393265 RNX393248:RNX393265 RXT393248:RXT393265 SHP393248:SHP393265 SRL393248:SRL393265 TBH393248:TBH393265 TLD393248:TLD393265 TUZ393248:TUZ393265 UEV393248:UEV393265 UOR393248:UOR393265 UYN393248:UYN393265 VIJ393248:VIJ393265 VSF393248:VSF393265 WCB393248:WCB393265 WLX393248:WLX393265 WVT393248:WVT393265 L458784:L458801 JH458784:JH458801 TD458784:TD458801 ACZ458784:ACZ458801 AMV458784:AMV458801 AWR458784:AWR458801 BGN458784:BGN458801 BQJ458784:BQJ458801 CAF458784:CAF458801 CKB458784:CKB458801 CTX458784:CTX458801 DDT458784:DDT458801 DNP458784:DNP458801 DXL458784:DXL458801 EHH458784:EHH458801 ERD458784:ERD458801 FAZ458784:FAZ458801 FKV458784:FKV458801 FUR458784:FUR458801 GEN458784:GEN458801 GOJ458784:GOJ458801 GYF458784:GYF458801 HIB458784:HIB458801 HRX458784:HRX458801 IBT458784:IBT458801 ILP458784:ILP458801 IVL458784:IVL458801 JFH458784:JFH458801 JPD458784:JPD458801 JYZ458784:JYZ458801 KIV458784:KIV458801 KSR458784:KSR458801 LCN458784:LCN458801 LMJ458784:LMJ458801 LWF458784:LWF458801 MGB458784:MGB458801 MPX458784:MPX458801 MZT458784:MZT458801 NJP458784:NJP458801 NTL458784:NTL458801 ODH458784:ODH458801 OND458784:OND458801 OWZ458784:OWZ458801 PGV458784:PGV458801 PQR458784:PQR458801 QAN458784:QAN458801 QKJ458784:QKJ458801 QUF458784:QUF458801 REB458784:REB458801 RNX458784:RNX458801 RXT458784:RXT458801 SHP458784:SHP458801 SRL458784:SRL458801 TBH458784:TBH458801 TLD458784:TLD458801 TUZ458784:TUZ458801 UEV458784:UEV458801 UOR458784:UOR458801 UYN458784:UYN458801 VIJ458784:VIJ458801 VSF458784:VSF458801 WCB458784:WCB458801 WLX458784:WLX458801 WVT458784:WVT458801 L524320:L524337 JH524320:JH524337 TD524320:TD524337 ACZ524320:ACZ524337 AMV524320:AMV524337 AWR524320:AWR524337 BGN524320:BGN524337 BQJ524320:BQJ524337 CAF524320:CAF524337 CKB524320:CKB524337 CTX524320:CTX524337 DDT524320:DDT524337 DNP524320:DNP524337 DXL524320:DXL524337 EHH524320:EHH524337 ERD524320:ERD524337 FAZ524320:FAZ524337 FKV524320:FKV524337 FUR524320:FUR524337 GEN524320:GEN524337 GOJ524320:GOJ524337 GYF524320:GYF524337 HIB524320:HIB524337 HRX524320:HRX524337 IBT524320:IBT524337 ILP524320:ILP524337 IVL524320:IVL524337 JFH524320:JFH524337 JPD524320:JPD524337 JYZ524320:JYZ524337 KIV524320:KIV524337 KSR524320:KSR524337 LCN524320:LCN524337 LMJ524320:LMJ524337 LWF524320:LWF524337 MGB524320:MGB524337 MPX524320:MPX524337 MZT524320:MZT524337 NJP524320:NJP524337 NTL524320:NTL524337 ODH524320:ODH524337 OND524320:OND524337 OWZ524320:OWZ524337 PGV524320:PGV524337 PQR524320:PQR524337 QAN524320:QAN524337 QKJ524320:QKJ524337 QUF524320:QUF524337 REB524320:REB524337 RNX524320:RNX524337 RXT524320:RXT524337 SHP524320:SHP524337 SRL524320:SRL524337 TBH524320:TBH524337 TLD524320:TLD524337 TUZ524320:TUZ524337 UEV524320:UEV524337 UOR524320:UOR524337 UYN524320:UYN524337 VIJ524320:VIJ524337 VSF524320:VSF524337 WCB524320:WCB524337 WLX524320:WLX524337 WVT524320:WVT524337 L589856:L589873 JH589856:JH589873 TD589856:TD589873 ACZ589856:ACZ589873 AMV589856:AMV589873 AWR589856:AWR589873 BGN589856:BGN589873 BQJ589856:BQJ589873 CAF589856:CAF589873 CKB589856:CKB589873 CTX589856:CTX589873 DDT589856:DDT589873 DNP589856:DNP589873 DXL589856:DXL589873 EHH589856:EHH589873 ERD589856:ERD589873 FAZ589856:FAZ589873 FKV589856:FKV589873 FUR589856:FUR589873 GEN589856:GEN589873 GOJ589856:GOJ589873 GYF589856:GYF589873 HIB589856:HIB589873 HRX589856:HRX589873 IBT589856:IBT589873 ILP589856:ILP589873 IVL589856:IVL589873 JFH589856:JFH589873 JPD589856:JPD589873 JYZ589856:JYZ589873 KIV589856:KIV589873 KSR589856:KSR589873 LCN589856:LCN589873 LMJ589856:LMJ589873 LWF589856:LWF589873 MGB589856:MGB589873 MPX589856:MPX589873 MZT589856:MZT589873 NJP589856:NJP589873 NTL589856:NTL589873 ODH589856:ODH589873 OND589856:OND589873 OWZ589856:OWZ589873 PGV589856:PGV589873 PQR589856:PQR589873 QAN589856:QAN589873 QKJ589856:QKJ589873 QUF589856:QUF589873 REB589856:REB589873 RNX589856:RNX589873 RXT589856:RXT589873 SHP589856:SHP589873 SRL589856:SRL589873 TBH589856:TBH589873 TLD589856:TLD589873 TUZ589856:TUZ589873 UEV589856:UEV589873 UOR589856:UOR589873 UYN589856:UYN589873 VIJ589856:VIJ589873 VSF589856:VSF589873 WCB589856:WCB589873 WLX589856:WLX589873 WVT589856:WVT589873 L655392:L655409 JH655392:JH655409 TD655392:TD655409 ACZ655392:ACZ655409 AMV655392:AMV655409 AWR655392:AWR655409 BGN655392:BGN655409 BQJ655392:BQJ655409 CAF655392:CAF655409 CKB655392:CKB655409 CTX655392:CTX655409 DDT655392:DDT655409 DNP655392:DNP655409 DXL655392:DXL655409 EHH655392:EHH655409 ERD655392:ERD655409 FAZ655392:FAZ655409 FKV655392:FKV655409 FUR655392:FUR655409 GEN655392:GEN655409 GOJ655392:GOJ655409 GYF655392:GYF655409 HIB655392:HIB655409 HRX655392:HRX655409 IBT655392:IBT655409 ILP655392:ILP655409 IVL655392:IVL655409 JFH655392:JFH655409 JPD655392:JPD655409 JYZ655392:JYZ655409 KIV655392:KIV655409 KSR655392:KSR655409 LCN655392:LCN655409 LMJ655392:LMJ655409 LWF655392:LWF655409 MGB655392:MGB655409 MPX655392:MPX655409 MZT655392:MZT655409 NJP655392:NJP655409 NTL655392:NTL655409 ODH655392:ODH655409 OND655392:OND655409 OWZ655392:OWZ655409 PGV655392:PGV655409 PQR655392:PQR655409 QAN655392:QAN655409 QKJ655392:QKJ655409 QUF655392:QUF655409 REB655392:REB655409 RNX655392:RNX655409 RXT655392:RXT655409 SHP655392:SHP655409 SRL655392:SRL655409 TBH655392:TBH655409 TLD655392:TLD655409 TUZ655392:TUZ655409 UEV655392:UEV655409 UOR655392:UOR655409 UYN655392:UYN655409 VIJ655392:VIJ655409 VSF655392:VSF655409 WCB655392:WCB655409 WLX655392:WLX655409 WVT655392:WVT655409 L720928:L720945 JH720928:JH720945 TD720928:TD720945 ACZ720928:ACZ720945 AMV720928:AMV720945 AWR720928:AWR720945 BGN720928:BGN720945 BQJ720928:BQJ720945 CAF720928:CAF720945 CKB720928:CKB720945 CTX720928:CTX720945 DDT720928:DDT720945 DNP720928:DNP720945 DXL720928:DXL720945 EHH720928:EHH720945 ERD720928:ERD720945 FAZ720928:FAZ720945 FKV720928:FKV720945 FUR720928:FUR720945 GEN720928:GEN720945 GOJ720928:GOJ720945 GYF720928:GYF720945 HIB720928:HIB720945 HRX720928:HRX720945 IBT720928:IBT720945 ILP720928:ILP720945 IVL720928:IVL720945 JFH720928:JFH720945 JPD720928:JPD720945 JYZ720928:JYZ720945 KIV720928:KIV720945 KSR720928:KSR720945 LCN720928:LCN720945 LMJ720928:LMJ720945 LWF720928:LWF720945 MGB720928:MGB720945 MPX720928:MPX720945 MZT720928:MZT720945 NJP720928:NJP720945 NTL720928:NTL720945 ODH720928:ODH720945 OND720928:OND720945 OWZ720928:OWZ720945 PGV720928:PGV720945 PQR720928:PQR720945 QAN720928:QAN720945 QKJ720928:QKJ720945 QUF720928:QUF720945 REB720928:REB720945 RNX720928:RNX720945 RXT720928:RXT720945 SHP720928:SHP720945 SRL720928:SRL720945 TBH720928:TBH720945 TLD720928:TLD720945 TUZ720928:TUZ720945 UEV720928:UEV720945 UOR720928:UOR720945 UYN720928:UYN720945 VIJ720928:VIJ720945 VSF720928:VSF720945 WCB720928:WCB720945 WLX720928:WLX720945 WVT720928:WVT720945 L786464:L786481 JH786464:JH786481 TD786464:TD786481 ACZ786464:ACZ786481 AMV786464:AMV786481 AWR786464:AWR786481 BGN786464:BGN786481 BQJ786464:BQJ786481 CAF786464:CAF786481 CKB786464:CKB786481 CTX786464:CTX786481 DDT786464:DDT786481 DNP786464:DNP786481 DXL786464:DXL786481 EHH786464:EHH786481 ERD786464:ERD786481 FAZ786464:FAZ786481 FKV786464:FKV786481 FUR786464:FUR786481 GEN786464:GEN786481 GOJ786464:GOJ786481 GYF786464:GYF786481 HIB786464:HIB786481 HRX786464:HRX786481 IBT786464:IBT786481 ILP786464:ILP786481 IVL786464:IVL786481 JFH786464:JFH786481 JPD786464:JPD786481 JYZ786464:JYZ786481 KIV786464:KIV786481 KSR786464:KSR786481 LCN786464:LCN786481 LMJ786464:LMJ786481 LWF786464:LWF786481 MGB786464:MGB786481 MPX786464:MPX786481 MZT786464:MZT786481 NJP786464:NJP786481 NTL786464:NTL786481 ODH786464:ODH786481 OND786464:OND786481 OWZ786464:OWZ786481 PGV786464:PGV786481 PQR786464:PQR786481 QAN786464:QAN786481 QKJ786464:QKJ786481 QUF786464:QUF786481 REB786464:REB786481 RNX786464:RNX786481 RXT786464:RXT786481 SHP786464:SHP786481 SRL786464:SRL786481 TBH786464:TBH786481 TLD786464:TLD786481 TUZ786464:TUZ786481 UEV786464:UEV786481 UOR786464:UOR786481 UYN786464:UYN786481 VIJ786464:VIJ786481 VSF786464:VSF786481 WCB786464:WCB786481 WLX786464:WLX786481 WVT786464:WVT786481 L852000:L852017 JH852000:JH852017 TD852000:TD852017 ACZ852000:ACZ852017 AMV852000:AMV852017 AWR852000:AWR852017 BGN852000:BGN852017 BQJ852000:BQJ852017 CAF852000:CAF852017 CKB852000:CKB852017 CTX852000:CTX852017 DDT852000:DDT852017 DNP852000:DNP852017 DXL852000:DXL852017 EHH852000:EHH852017 ERD852000:ERD852017 FAZ852000:FAZ852017 FKV852000:FKV852017 FUR852000:FUR852017 GEN852000:GEN852017 GOJ852000:GOJ852017 GYF852000:GYF852017 HIB852000:HIB852017 HRX852000:HRX852017 IBT852000:IBT852017 ILP852000:ILP852017 IVL852000:IVL852017 JFH852000:JFH852017 JPD852000:JPD852017 JYZ852000:JYZ852017 KIV852000:KIV852017 KSR852000:KSR852017 LCN852000:LCN852017 LMJ852000:LMJ852017 LWF852000:LWF852017 MGB852000:MGB852017 MPX852000:MPX852017 MZT852000:MZT852017 NJP852000:NJP852017 NTL852000:NTL852017 ODH852000:ODH852017 OND852000:OND852017 OWZ852000:OWZ852017 PGV852000:PGV852017 PQR852000:PQR852017 QAN852000:QAN852017 QKJ852000:QKJ852017 QUF852000:QUF852017 REB852000:REB852017 RNX852000:RNX852017 RXT852000:RXT852017 SHP852000:SHP852017 SRL852000:SRL852017 TBH852000:TBH852017 TLD852000:TLD852017 TUZ852000:TUZ852017 UEV852000:UEV852017 UOR852000:UOR852017 UYN852000:UYN852017 VIJ852000:VIJ852017 VSF852000:VSF852017 WCB852000:WCB852017 WLX852000:WLX852017 WVT852000:WVT852017 L917536:L917553 JH917536:JH917553 TD917536:TD917553 ACZ917536:ACZ917553 AMV917536:AMV917553 AWR917536:AWR917553 BGN917536:BGN917553 BQJ917536:BQJ917553 CAF917536:CAF917553 CKB917536:CKB917553 CTX917536:CTX917553 DDT917536:DDT917553 DNP917536:DNP917553 DXL917536:DXL917553 EHH917536:EHH917553 ERD917536:ERD917553 FAZ917536:FAZ917553 FKV917536:FKV917553 FUR917536:FUR917553 GEN917536:GEN917553 GOJ917536:GOJ917553 GYF917536:GYF917553 HIB917536:HIB917553 HRX917536:HRX917553 IBT917536:IBT917553 ILP917536:ILP917553 IVL917536:IVL917553 JFH917536:JFH917553 JPD917536:JPD917553 JYZ917536:JYZ917553 KIV917536:KIV917553 KSR917536:KSR917553 LCN917536:LCN917553 LMJ917536:LMJ917553 LWF917536:LWF917553 MGB917536:MGB917553 MPX917536:MPX917553 MZT917536:MZT917553 NJP917536:NJP917553 NTL917536:NTL917553 ODH917536:ODH917553 OND917536:OND917553 OWZ917536:OWZ917553 PGV917536:PGV917553 PQR917536:PQR917553 QAN917536:QAN917553 QKJ917536:QKJ917553 QUF917536:QUF917553 REB917536:REB917553 RNX917536:RNX917553 RXT917536:RXT917553 SHP917536:SHP917553 SRL917536:SRL917553 TBH917536:TBH917553 TLD917536:TLD917553 TUZ917536:TUZ917553 UEV917536:UEV917553 UOR917536:UOR917553 UYN917536:UYN917553 VIJ917536:VIJ917553 VSF917536:VSF917553 WCB917536:WCB917553 WLX917536:WLX917553 WVT917536:WVT917553 L983072:L983089 JH983072:JH983089 TD983072:TD983089 ACZ983072:ACZ983089 AMV983072:AMV983089 AWR983072:AWR983089 BGN983072:BGN983089 BQJ983072:BQJ983089 CAF983072:CAF983089 CKB983072:CKB983089 CTX983072:CTX983089 DDT983072:DDT983089 DNP983072:DNP983089 DXL983072:DXL983089 EHH983072:EHH983089 ERD983072:ERD983089 FAZ983072:FAZ983089 FKV983072:FKV983089 FUR983072:FUR983089 GEN983072:GEN983089 GOJ983072:GOJ983089 GYF983072:GYF983089 HIB983072:HIB983089 HRX983072:HRX983089 IBT983072:IBT983089 ILP983072:ILP983089 IVL983072:IVL983089 JFH983072:JFH983089 JPD983072:JPD983089 JYZ983072:JYZ983089 KIV983072:KIV983089 KSR983072:KSR983089 LCN983072:LCN983089 LMJ983072:LMJ983089 LWF983072:LWF983089 MGB983072:MGB983089 MPX983072:MPX983089 MZT983072:MZT983089 NJP983072:NJP983089 NTL983072:NTL983089 ODH983072:ODH983089 OND983072:OND983089 OWZ983072:OWZ983089 PGV983072:PGV983089 PQR983072:PQR983089 QAN983072:QAN983089 QKJ983072:QKJ983089 QUF983072:QUF983089 REB983072:REB983089 RNX983072:RNX983089 RXT983072:RXT983089 SHP983072:SHP983089 SRL983072:SRL983089 TBH983072:TBH983089 TLD983072:TLD983089 TUZ983072:TUZ983089 UEV983072:UEV983089 UOR983072:UOR983089 UYN983072:UYN983089 VIJ983072:VIJ983089 VSF983072:VSF983089 WCB983072:WCB983089 WLX983072:WLX983089 WVT983072:WVT983089">
      <formula1>$L$9:$L$25</formula1>
    </dataValidation>
    <dataValidation type="list" allowBlank="1" showInputMessage="1" showErrorMessage="1" sqref="G32:G49 JC32:JC49 SY32:SY49 ACU32:ACU49 AMQ32:AMQ49 AWM32:AWM49 BGI32:BGI49 BQE32:BQE49 CAA32:CAA49 CJW32:CJW49 CTS32:CTS49 DDO32:DDO49 DNK32:DNK49 DXG32:DXG49 EHC32:EHC49 EQY32:EQY49 FAU32:FAU49 FKQ32:FKQ49 FUM32:FUM49 GEI32:GEI49 GOE32:GOE49 GYA32:GYA49 HHW32:HHW49 HRS32:HRS49 IBO32:IBO49 ILK32:ILK49 IVG32:IVG49 JFC32:JFC49 JOY32:JOY49 JYU32:JYU49 KIQ32:KIQ49 KSM32:KSM49 LCI32:LCI49 LME32:LME49 LWA32:LWA49 MFW32:MFW49 MPS32:MPS49 MZO32:MZO49 NJK32:NJK49 NTG32:NTG49 ODC32:ODC49 OMY32:OMY49 OWU32:OWU49 PGQ32:PGQ49 PQM32:PQM49 QAI32:QAI49 QKE32:QKE49 QUA32:QUA49 RDW32:RDW49 RNS32:RNS49 RXO32:RXO49 SHK32:SHK49 SRG32:SRG49 TBC32:TBC49 TKY32:TKY49 TUU32:TUU49 UEQ32:UEQ49 UOM32:UOM49 UYI32:UYI49 VIE32:VIE49 VSA32:VSA49 WBW32:WBW49 WLS32:WLS49 WVO32:WVO49 G65568:G65585 JC65568:JC65585 SY65568:SY65585 ACU65568:ACU65585 AMQ65568:AMQ65585 AWM65568:AWM65585 BGI65568:BGI65585 BQE65568:BQE65585 CAA65568:CAA65585 CJW65568:CJW65585 CTS65568:CTS65585 DDO65568:DDO65585 DNK65568:DNK65585 DXG65568:DXG65585 EHC65568:EHC65585 EQY65568:EQY65585 FAU65568:FAU65585 FKQ65568:FKQ65585 FUM65568:FUM65585 GEI65568:GEI65585 GOE65568:GOE65585 GYA65568:GYA65585 HHW65568:HHW65585 HRS65568:HRS65585 IBO65568:IBO65585 ILK65568:ILK65585 IVG65568:IVG65585 JFC65568:JFC65585 JOY65568:JOY65585 JYU65568:JYU65585 KIQ65568:KIQ65585 KSM65568:KSM65585 LCI65568:LCI65585 LME65568:LME65585 LWA65568:LWA65585 MFW65568:MFW65585 MPS65568:MPS65585 MZO65568:MZO65585 NJK65568:NJK65585 NTG65568:NTG65585 ODC65568:ODC65585 OMY65568:OMY65585 OWU65568:OWU65585 PGQ65568:PGQ65585 PQM65568:PQM65585 QAI65568:QAI65585 QKE65568:QKE65585 QUA65568:QUA65585 RDW65568:RDW65585 RNS65568:RNS65585 RXO65568:RXO65585 SHK65568:SHK65585 SRG65568:SRG65585 TBC65568:TBC65585 TKY65568:TKY65585 TUU65568:TUU65585 UEQ65568:UEQ65585 UOM65568:UOM65585 UYI65568:UYI65585 VIE65568:VIE65585 VSA65568:VSA65585 WBW65568:WBW65585 WLS65568:WLS65585 WVO65568:WVO65585 G131104:G131121 JC131104:JC131121 SY131104:SY131121 ACU131104:ACU131121 AMQ131104:AMQ131121 AWM131104:AWM131121 BGI131104:BGI131121 BQE131104:BQE131121 CAA131104:CAA131121 CJW131104:CJW131121 CTS131104:CTS131121 DDO131104:DDO131121 DNK131104:DNK131121 DXG131104:DXG131121 EHC131104:EHC131121 EQY131104:EQY131121 FAU131104:FAU131121 FKQ131104:FKQ131121 FUM131104:FUM131121 GEI131104:GEI131121 GOE131104:GOE131121 GYA131104:GYA131121 HHW131104:HHW131121 HRS131104:HRS131121 IBO131104:IBO131121 ILK131104:ILK131121 IVG131104:IVG131121 JFC131104:JFC131121 JOY131104:JOY131121 JYU131104:JYU131121 KIQ131104:KIQ131121 KSM131104:KSM131121 LCI131104:LCI131121 LME131104:LME131121 LWA131104:LWA131121 MFW131104:MFW131121 MPS131104:MPS131121 MZO131104:MZO131121 NJK131104:NJK131121 NTG131104:NTG131121 ODC131104:ODC131121 OMY131104:OMY131121 OWU131104:OWU131121 PGQ131104:PGQ131121 PQM131104:PQM131121 QAI131104:QAI131121 QKE131104:QKE131121 QUA131104:QUA131121 RDW131104:RDW131121 RNS131104:RNS131121 RXO131104:RXO131121 SHK131104:SHK131121 SRG131104:SRG131121 TBC131104:TBC131121 TKY131104:TKY131121 TUU131104:TUU131121 UEQ131104:UEQ131121 UOM131104:UOM131121 UYI131104:UYI131121 VIE131104:VIE131121 VSA131104:VSA131121 WBW131104:WBW131121 WLS131104:WLS131121 WVO131104:WVO131121 G196640:G196657 JC196640:JC196657 SY196640:SY196657 ACU196640:ACU196657 AMQ196640:AMQ196657 AWM196640:AWM196657 BGI196640:BGI196657 BQE196640:BQE196657 CAA196640:CAA196657 CJW196640:CJW196657 CTS196640:CTS196657 DDO196640:DDO196657 DNK196640:DNK196657 DXG196640:DXG196657 EHC196640:EHC196657 EQY196640:EQY196657 FAU196640:FAU196657 FKQ196640:FKQ196657 FUM196640:FUM196657 GEI196640:GEI196657 GOE196640:GOE196657 GYA196640:GYA196657 HHW196640:HHW196657 HRS196640:HRS196657 IBO196640:IBO196657 ILK196640:ILK196657 IVG196640:IVG196657 JFC196640:JFC196657 JOY196640:JOY196657 JYU196640:JYU196657 KIQ196640:KIQ196657 KSM196640:KSM196657 LCI196640:LCI196657 LME196640:LME196657 LWA196640:LWA196657 MFW196640:MFW196657 MPS196640:MPS196657 MZO196640:MZO196657 NJK196640:NJK196657 NTG196640:NTG196657 ODC196640:ODC196657 OMY196640:OMY196657 OWU196640:OWU196657 PGQ196640:PGQ196657 PQM196640:PQM196657 QAI196640:QAI196657 QKE196640:QKE196657 QUA196640:QUA196657 RDW196640:RDW196657 RNS196640:RNS196657 RXO196640:RXO196657 SHK196640:SHK196657 SRG196640:SRG196657 TBC196640:TBC196657 TKY196640:TKY196657 TUU196640:TUU196657 UEQ196640:UEQ196657 UOM196640:UOM196657 UYI196640:UYI196657 VIE196640:VIE196657 VSA196640:VSA196657 WBW196640:WBW196657 WLS196640:WLS196657 WVO196640:WVO196657 G262176:G262193 JC262176:JC262193 SY262176:SY262193 ACU262176:ACU262193 AMQ262176:AMQ262193 AWM262176:AWM262193 BGI262176:BGI262193 BQE262176:BQE262193 CAA262176:CAA262193 CJW262176:CJW262193 CTS262176:CTS262193 DDO262176:DDO262193 DNK262176:DNK262193 DXG262176:DXG262193 EHC262176:EHC262193 EQY262176:EQY262193 FAU262176:FAU262193 FKQ262176:FKQ262193 FUM262176:FUM262193 GEI262176:GEI262193 GOE262176:GOE262193 GYA262176:GYA262193 HHW262176:HHW262193 HRS262176:HRS262193 IBO262176:IBO262193 ILK262176:ILK262193 IVG262176:IVG262193 JFC262176:JFC262193 JOY262176:JOY262193 JYU262176:JYU262193 KIQ262176:KIQ262193 KSM262176:KSM262193 LCI262176:LCI262193 LME262176:LME262193 LWA262176:LWA262193 MFW262176:MFW262193 MPS262176:MPS262193 MZO262176:MZO262193 NJK262176:NJK262193 NTG262176:NTG262193 ODC262176:ODC262193 OMY262176:OMY262193 OWU262176:OWU262193 PGQ262176:PGQ262193 PQM262176:PQM262193 QAI262176:QAI262193 QKE262176:QKE262193 QUA262176:QUA262193 RDW262176:RDW262193 RNS262176:RNS262193 RXO262176:RXO262193 SHK262176:SHK262193 SRG262176:SRG262193 TBC262176:TBC262193 TKY262176:TKY262193 TUU262176:TUU262193 UEQ262176:UEQ262193 UOM262176:UOM262193 UYI262176:UYI262193 VIE262176:VIE262193 VSA262176:VSA262193 WBW262176:WBW262193 WLS262176:WLS262193 WVO262176:WVO262193 G327712:G327729 JC327712:JC327729 SY327712:SY327729 ACU327712:ACU327729 AMQ327712:AMQ327729 AWM327712:AWM327729 BGI327712:BGI327729 BQE327712:BQE327729 CAA327712:CAA327729 CJW327712:CJW327729 CTS327712:CTS327729 DDO327712:DDO327729 DNK327712:DNK327729 DXG327712:DXG327729 EHC327712:EHC327729 EQY327712:EQY327729 FAU327712:FAU327729 FKQ327712:FKQ327729 FUM327712:FUM327729 GEI327712:GEI327729 GOE327712:GOE327729 GYA327712:GYA327729 HHW327712:HHW327729 HRS327712:HRS327729 IBO327712:IBO327729 ILK327712:ILK327729 IVG327712:IVG327729 JFC327712:JFC327729 JOY327712:JOY327729 JYU327712:JYU327729 KIQ327712:KIQ327729 KSM327712:KSM327729 LCI327712:LCI327729 LME327712:LME327729 LWA327712:LWA327729 MFW327712:MFW327729 MPS327712:MPS327729 MZO327712:MZO327729 NJK327712:NJK327729 NTG327712:NTG327729 ODC327712:ODC327729 OMY327712:OMY327729 OWU327712:OWU327729 PGQ327712:PGQ327729 PQM327712:PQM327729 QAI327712:QAI327729 QKE327712:QKE327729 QUA327712:QUA327729 RDW327712:RDW327729 RNS327712:RNS327729 RXO327712:RXO327729 SHK327712:SHK327729 SRG327712:SRG327729 TBC327712:TBC327729 TKY327712:TKY327729 TUU327712:TUU327729 UEQ327712:UEQ327729 UOM327712:UOM327729 UYI327712:UYI327729 VIE327712:VIE327729 VSA327712:VSA327729 WBW327712:WBW327729 WLS327712:WLS327729 WVO327712:WVO327729 G393248:G393265 JC393248:JC393265 SY393248:SY393265 ACU393248:ACU393265 AMQ393248:AMQ393265 AWM393248:AWM393265 BGI393248:BGI393265 BQE393248:BQE393265 CAA393248:CAA393265 CJW393248:CJW393265 CTS393248:CTS393265 DDO393248:DDO393265 DNK393248:DNK393265 DXG393248:DXG393265 EHC393248:EHC393265 EQY393248:EQY393265 FAU393248:FAU393265 FKQ393248:FKQ393265 FUM393248:FUM393265 GEI393248:GEI393265 GOE393248:GOE393265 GYA393248:GYA393265 HHW393248:HHW393265 HRS393248:HRS393265 IBO393248:IBO393265 ILK393248:ILK393265 IVG393248:IVG393265 JFC393248:JFC393265 JOY393248:JOY393265 JYU393248:JYU393265 KIQ393248:KIQ393265 KSM393248:KSM393265 LCI393248:LCI393265 LME393248:LME393265 LWA393248:LWA393265 MFW393248:MFW393265 MPS393248:MPS393265 MZO393248:MZO393265 NJK393248:NJK393265 NTG393248:NTG393265 ODC393248:ODC393265 OMY393248:OMY393265 OWU393248:OWU393265 PGQ393248:PGQ393265 PQM393248:PQM393265 QAI393248:QAI393265 QKE393248:QKE393265 QUA393248:QUA393265 RDW393248:RDW393265 RNS393248:RNS393265 RXO393248:RXO393265 SHK393248:SHK393265 SRG393248:SRG393265 TBC393248:TBC393265 TKY393248:TKY393265 TUU393248:TUU393265 UEQ393248:UEQ393265 UOM393248:UOM393265 UYI393248:UYI393265 VIE393248:VIE393265 VSA393248:VSA393265 WBW393248:WBW393265 WLS393248:WLS393265 WVO393248:WVO393265 G458784:G458801 JC458784:JC458801 SY458784:SY458801 ACU458784:ACU458801 AMQ458784:AMQ458801 AWM458784:AWM458801 BGI458784:BGI458801 BQE458784:BQE458801 CAA458784:CAA458801 CJW458784:CJW458801 CTS458784:CTS458801 DDO458784:DDO458801 DNK458784:DNK458801 DXG458784:DXG458801 EHC458784:EHC458801 EQY458784:EQY458801 FAU458784:FAU458801 FKQ458784:FKQ458801 FUM458784:FUM458801 GEI458784:GEI458801 GOE458784:GOE458801 GYA458784:GYA458801 HHW458784:HHW458801 HRS458784:HRS458801 IBO458784:IBO458801 ILK458784:ILK458801 IVG458784:IVG458801 JFC458784:JFC458801 JOY458784:JOY458801 JYU458784:JYU458801 KIQ458784:KIQ458801 KSM458784:KSM458801 LCI458784:LCI458801 LME458784:LME458801 LWA458784:LWA458801 MFW458784:MFW458801 MPS458784:MPS458801 MZO458784:MZO458801 NJK458784:NJK458801 NTG458784:NTG458801 ODC458784:ODC458801 OMY458784:OMY458801 OWU458784:OWU458801 PGQ458784:PGQ458801 PQM458784:PQM458801 QAI458784:QAI458801 QKE458784:QKE458801 QUA458784:QUA458801 RDW458784:RDW458801 RNS458784:RNS458801 RXO458784:RXO458801 SHK458784:SHK458801 SRG458784:SRG458801 TBC458784:TBC458801 TKY458784:TKY458801 TUU458784:TUU458801 UEQ458784:UEQ458801 UOM458784:UOM458801 UYI458784:UYI458801 VIE458784:VIE458801 VSA458784:VSA458801 WBW458784:WBW458801 WLS458784:WLS458801 WVO458784:WVO458801 G524320:G524337 JC524320:JC524337 SY524320:SY524337 ACU524320:ACU524337 AMQ524320:AMQ524337 AWM524320:AWM524337 BGI524320:BGI524337 BQE524320:BQE524337 CAA524320:CAA524337 CJW524320:CJW524337 CTS524320:CTS524337 DDO524320:DDO524337 DNK524320:DNK524337 DXG524320:DXG524337 EHC524320:EHC524337 EQY524320:EQY524337 FAU524320:FAU524337 FKQ524320:FKQ524337 FUM524320:FUM524337 GEI524320:GEI524337 GOE524320:GOE524337 GYA524320:GYA524337 HHW524320:HHW524337 HRS524320:HRS524337 IBO524320:IBO524337 ILK524320:ILK524337 IVG524320:IVG524337 JFC524320:JFC524337 JOY524320:JOY524337 JYU524320:JYU524337 KIQ524320:KIQ524337 KSM524320:KSM524337 LCI524320:LCI524337 LME524320:LME524337 LWA524320:LWA524337 MFW524320:MFW524337 MPS524320:MPS524337 MZO524320:MZO524337 NJK524320:NJK524337 NTG524320:NTG524337 ODC524320:ODC524337 OMY524320:OMY524337 OWU524320:OWU524337 PGQ524320:PGQ524337 PQM524320:PQM524337 QAI524320:QAI524337 QKE524320:QKE524337 QUA524320:QUA524337 RDW524320:RDW524337 RNS524320:RNS524337 RXO524320:RXO524337 SHK524320:SHK524337 SRG524320:SRG524337 TBC524320:TBC524337 TKY524320:TKY524337 TUU524320:TUU524337 UEQ524320:UEQ524337 UOM524320:UOM524337 UYI524320:UYI524337 VIE524320:VIE524337 VSA524320:VSA524337 WBW524320:WBW524337 WLS524320:WLS524337 WVO524320:WVO524337 G589856:G589873 JC589856:JC589873 SY589856:SY589873 ACU589856:ACU589873 AMQ589856:AMQ589873 AWM589856:AWM589873 BGI589856:BGI589873 BQE589856:BQE589873 CAA589856:CAA589873 CJW589856:CJW589873 CTS589856:CTS589873 DDO589856:DDO589873 DNK589856:DNK589873 DXG589856:DXG589873 EHC589856:EHC589873 EQY589856:EQY589873 FAU589856:FAU589873 FKQ589856:FKQ589873 FUM589856:FUM589873 GEI589856:GEI589873 GOE589856:GOE589873 GYA589856:GYA589873 HHW589856:HHW589873 HRS589856:HRS589873 IBO589856:IBO589873 ILK589856:ILK589873 IVG589856:IVG589873 JFC589856:JFC589873 JOY589856:JOY589873 JYU589856:JYU589873 KIQ589856:KIQ589873 KSM589856:KSM589873 LCI589856:LCI589873 LME589856:LME589873 LWA589856:LWA589873 MFW589856:MFW589873 MPS589856:MPS589873 MZO589856:MZO589873 NJK589856:NJK589873 NTG589856:NTG589873 ODC589856:ODC589873 OMY589856:OMY589873 OWU589856:OWU589873 PGQ589856:PGQ589873 PQM589856:PQM589873 QAI589856:QAI589873 QKE589856:QKE589873 QUA589856:QUA589873 RDW589856:RDW589873 RNS589856:RNS589873 RXO589856:RXO589873 SHK589856:SHK589873 SRG589856:SRG589873 TBC589856:TBC589873 TKY589856:TKY589873 TUU589856:TUU589873 UEQ589856:UEQ589873 UOM589856:UOM589873 UYI589856:UYI589873 VIE589856:VIE589873 VSA589856:VSA589873 WBW589856:WBW589873 WLS589856:WLS589873 WVO589856:WVO589873 G655392:G655409 JC655392:JC655409 SY655392:SY655409 ACU655392:ACU655409 AMQ655392:AMQ655409 AWM655392:AWM655409 BGI655392:BGI655409 BQE655392:BQE655409 CAA655392:CAA655409 CJW655392:CJW655409 CTS655392:CTS655409 DDO655392:DDO655409 DNK655392:DNK655409 DXG655392:DXG655409 EHC655392:EHC655409 EQY655392:EQY655409 FAU655392:FAU655409 FKQ655392:FKQ655409 FUM655392:FUM655409 GEI655392:GEI655409 GOE655392:GOE655409 GYA655392:GYA655409 HHW655392:HHW655409 HRS655392:HRS655409 IBO655392:IBO655409 ILK655392:ILK655409 IVG655392:IVG655409 JFC655392:JFC655409 JOY655392:JOY655409 JYU655392:JYU655409 KIQ655392:KIQ655409 KSM655392:KSM655409 LCI655392:LCI655409 LME655392:LME655409 LWA655392:LWA655409 MFW655392:MFW655409 MPS655392:MPS655409 MZO655392:MZO655409 NJK655392:NJK655409 NTG655392:NTG655409 ODC655392:ODC655409 OMY655392:OMY655409 OWU655392:OWU655409 PGQ655392:PGQ655409 PQM655392:PQM655409 QAI655392:QAI655409 QKE655392:QKE655409 QUA655392:QUA655409 RDW655392:RDW655409 RNS655392:RNS655409 RXO655392:RXO655409 SHK655392:SHK655409 SRG655392:SRG655409 TBC655392:TBC655409 TKY655392:TKY655409 TUU655392:TUU655409 UEQ655392:UEQ655409 UOM655392:UOM655409 UYI655392:UYI655409 VIE655392:VIE655409 VSA655392:VSA655409 WBW655392:WBW655409 WLS655392:WLS655409 WVO655392:WVO655409 G720928:G720945 JC720928:JC720945 SY720928:SY720945 ACU720928:ACU720945 AMQ720928:AMQ720945 AWM720928:AWM720945 BGI720928:BGI720945 BQE720928:BQE720945 CAA720928:CAA720945 CJW720928:CJW720945 CTS720928:CTS720945 DDO720928:DDO720945 DNK720928:DNK720945 DXG720928:DXG720945 EHC720928:EHC720945 EQY720928:EQY720945 FAU720928:FAU720945 FKQ720928:FKQ720945 FUM720928:FUM720945 GEI720928:GEI720945 GOE720928:GOE720945 GYA720928:GYA720945 HHW720928:HHW720945 HRS720928:HRS720945 IBO720928:IBO720945 ILK720928:ILK720945 IVG720928:IVG720945 JFC720928:JFC720945 JOY720928:JOY720945 JYU720928:JYU720945 KIQ720928:KIQ720945 KSM720928:KSM720945 LCI720928:LCI720945 LME720928:LME720945 LWA720928:LWA720945 MFW720928:MFW720945 MPS720928:MPS720945 MZO720928:MZO720945 NJK720928:NJK720945 NTG720928:NTG720945 ODC720928:ODC720945 OMY720928:OMY720945 OWU720928:OWU720945 PGQ720928:PGQ720945 PQM720928:PQM720945 QAI720928:QAI720945 QKE720928:QKE720945 QUA720928:QUA720945 RDW720928:RDW720945 RNS720928:RNS720945 RXO720928:RXO720945 SHK720928:SHK720945 SRG720928:SRG720945 TBC720928:TBC720945 TKY720928:TKY720945 TUU720928:TUU720945 UEQ720928:UEQ720945 UOM720928:UOM720945 UYI720928:UYI720945 VIE720928:VIE720945 VSA720928:VSA720945 WBW720928:WBW720945 WLS720928:WLS720945 WVO720928:WVO720945 G786464:G786481 JC786464:JC786481 SY786464:SY786481 ACU786464:ACU786481 AMQ786464:AMQ786481 AWM786464:AWM786481 BGI786464:BGI786481 BQE786464:BQE786481 CAA786464:CAA786481 CJW786464:CJW786481 CTS786464:CTS786481 DDO786464:DDO786481 DNK786464:DNK786481 DXG786464:DXG786481 EHC786464:EHC786481 EQY786464:EQY786481 FAU786464:FAU786481 FKQ786464:FKQ786481 FUM786464:FUM786481 GEI786464:GEI786481 GOE786464:GOE786481 GYA786464:GYA786481 HHW786464:HHW786481 HRS786464:HRS786481 IBO786464:IBO786481 ILK786464:ILK786481 IVG786464:IVG786481 JFC786464:JFC786481 JOY786464:JOY786481 JYU786464:JYU786481 KIQ786464:KIQ786481 KSM786464:KSM786481 LCI786464:LCI786481 LME786464:LME786481 LWA786464:LWA786481 MFW786464:MFW786481 MPS786464:MPS786481 MZO786464:MZO786481 NJK786464:NJK786481 NTG786464:NTG786481 ODC786464:ODC786481 OMY786464:OMY786481 OWU786464:OWU786481 PGQ786464:PGQ786481 PQM786464:PQM786481 QAI786464:QAI786481 QKE786464:QKE786481 QUA786464:QUA786481 RDW786464:RDW786481 RNS786464:RNS786481 RXO786464:RXO786481 SHK786464:SHK786481 SRG786464:SRG786481 TBC786464:TBC786481 TKY786464:TKY786481 TUU786464:TUU786481 UEQ786464:UEQ786481 UOM786464:UOM786481 UYI786464:UYI786481 VIE786464:VIE786481 VSA786464:VSA786481 WBW786464:WBW786481 WLS786464:WLS786481 WVO786464:WVO786481 G852000:G852017 JC852000:JC852017 SY852000:SY852017 ACU852000:ACU852017 AMQ852000:AMQ852017 AWM852000:AWM852017 BGI852000:BGI852017 BQE852000:BQE852017 CAA852000:CAA852017 CJW852000:CJW852017 CTS852000:CTS852017 DDO852000:DDO852017 DNK852000:DNK852017 DXG852000:DXG852017 EHC852000:EHC852017 EQY852000:EQY852017 FAU852000:FAU852017 FKQ852000:FKQ852017 FUM852000:FUM852017 GEI852000:GEI852017 GOE852000:GOE852017 GYA852000:GYA852017 HHW852000:HHW852017 HRS852000:HRS852017 IBO852000:IBO852017 ILK852000:ILK852017 IVG852000:IVG852017 JFC852000:JFC852017 JOY852000:JOY852017 JYU852000:JYU852017 KIQ852000:KIQ852017 KSM852000:KSM852017 LCI852000:LCI852017 LME852000:LME852017 LWA852000:LWA852017 MFW852000:MFW852017 MPS852000:MPS852017 MZO852000:MZO852017 NJK852000:NJK852017 NTG852000:NTG852017 ODC852000:ODC852017 OMY852000:OMY852017 OWU852000:OWU852017 PGQ852000:PGQ852017 PQM852000:PQM852017 QAI852000:QAI852017 QKE852000:QKE852017 QUA852000:QUA852017 RDW852000:RDW852017 RNS852000:RNS852017 RXO852000:RXO852017 SHK852000:SHK852017 SRG852000:SRG852017 TBC852000:TBC852017 TKY852000:TKY852017 TUU852000:TUU852017 UEQ852000:UEQ852017 UOM852000:UOM852017 UYI852000:UYI852017 VIE852000:VIE852017 VSA852000:VSA852017 WBW852000:WBW852017 WLS852000:WLS852017 WVO852000:WVO852017 G917536:G917553 JC917536:JC917553 SY917536:SY917553 ACU917536:ACU917553 AMQ917536:AMQ917553 AWM917536:AWM917553 BGI917536:BGI917553 BQE917536:BQE917553 CAA917536:CAA917553 CJW917536:CJW917553 CTS917536:CTS917553 DDO917536:DDO917553 DNK917536:DNK917553 DXG917536:DXG917553 EHC917536:EHC917553 EQY917536:EQY917553 FAU917536:FAU917553 FKQ917536:FKQ917553 FUM917536:FUM917553 GEI917536:GEI917553 GOE917536:GOE917553 GYA917536:GYA917553 HHW917536:HHW917553 HRS917536:HRS917553 IBO917536:IBO917553 ILK917536:ILK917553 IVG917536:IVG917553 JFC917536:JFC917553 JOY917536:JOY917553 JYU917536:JYU917553 KIQ917536:KIQ917553 KSM917536:KSM917553 LCI917536:LCI917553 LME917536:LME917553 LWA917536:LWA917553 MFW917536:MFW917553 MPS917536:MPS917553 MZO917536:MZO917553 NJK917536:NJK917553 NTG917536:NTG917553 ODC917536:ODC917553 OMY917536:OMY917553 OWU917536:OWU917553 PGQ917536:PGQ917553 PQM917536:PQM917553 QAI917536:QAI917553 QKE917536:QKE917553 QUA917536:QUA917553 RDW917536:RDW917553 RNS917536:RNS917553 RXO917536:RXO917553 SHK917536:SHK917553 SRG917536:SRG917553 TBC917536:TBC917553 TKY917536:TKY917553 TUU917536:TUU917553 UEQ917536:UEQ917553 UOM917536:UOM917553 UYI917536:UYI917553 VIE917536:VIE917553 VSA917536:VSA917553 WBW917536:WBW917553 WLS917536:WLS917553 WVO917536:WVO917553 G983072:G983089 JC983072:JC983089 SY983072:SY983089 ACU983072:ACU983089 AMQ983072:AMQ983089 AWM983072:AWM983089 BGI983072:BGI983089 BQE983072:BQE983089 CAA983072:CAA983089 CJW983072:CJW983089 CTS983072:CTS983089 DDO983072:DDO983089 DNK983072:DNK983089 DXG983072:DXG983089 EHC983072:EHC983089 EQY983072:EQY983089 FAU983072:FAU983089 FKQ983072:FKQ983089 FUM983072:FUM983089 GEI983072:GEI983089 GOE983072:GOE983089 GYA983072:GYA983089 HHW983072:HHW983089 HRS983072:HRS983089 IBO983072:IBO983089 ILK983072:ILK983089 IVG983072:IVG983089 JFC983072:JFC983089 JOY983072:JOY983089 JYU983072:JYU983089 KIQ983072:KIQ983089 KSM983072:KSM983089 LCI983072:LCI983089 LME983072:LME983089 LWA983072:LWA983089 MFW983072:MFW983089 MPS983072:MPS983089 MZO983072:MZO983089 NJK983072:NJK983089 NTG983072:NTG983089 ODC983072:ODC983089 OMY983072:OMY983089 OWU983072:OWU983089 PGQ983072:PGQ983089 PQM983072:PQM983089 QAI983072:QAI983089 QKE983072:QKE983089 QUA983072:QUA983089 RDW983072:RDW983089 RNS983072:RNS983089 RXO983072:RXO983089 SHK983072:SHK983089 SRG983072:SRG983089 TBC983072:TBC983089 TKY983072:TKY983089 TUU983072:TUU983089 UEQ983072:UEQ983089 UOM983072:UOM983089 UYI983072:UYI983089 VIE983072:VIE983089 VSA983072:VSA983089 WBW983072:WBW983089 WLS983072:WLS983089 WVO983072:WVO983089">
      <formula1>$R$69:$R$89</formula1>
    </dataValidation>
  </dataValidations>
  <printOptions horizontalCentered="1" verticalCentered="1"/>
  <pageMargins left="0.25" right="0.25" top="0.25" bottom="0.25" header="0.5" footer="0.5"/>
  <pageSetup paperSize="5" scale="54" orientation="landscape" r:id="rId1"/>
  <headerFooter alignWithMargins="0"/>
  <rowBreaks count="1" manualBreakCount="1">
    <brk id="66" min="3" max="25" man="1"/>
  </rowBreaks>
  <legacyDrawing r:id="rId2"/>
</worksheet>
</file>

<file path=xl/worksheets/sheet6.xml><?xml version="1.0" encoding="utf-8"?>
<worksheet xmlns="http://schemas.openxmlformats.org/spreadsheetml/2006/main" xmlns:r="http://schemas.openxmlformats.org/officeDocument/2006/relationships">
  <sheetPr>
    <tabColor indexed="57"/>
    <pageSetUpPr fitToPage="1"/>
  </sheetPr>
  <dimension ref="A1:BA91"/>
  <sheetViews>
    <sheetView showGridLines="0" view="pageBreakPreview" topLeftCell="D1" zoomScale="85" zoomScaleNormal="70" zoomScaleSheetLayoutView="85" workbookViewId="0">
      <selection activeCell="I47" sqref="I47"/>
    </sheetView>
  </sheetViews>
  <sheetFormatPr defaultRowHeight="12.75" outlineLevelRow="1" outlineLevelCol="1"/>
  <cols>
    <col min="1" max="1" width="9.5703125" style="45" bestFit="1" customWidth="1"/>
    <col min="2" max="2" width="9.5703125" style="45" customWidth="1"/>
    <col min="3" max="3" width="9.140625" style="45"/>
    <col min="4" max="4" width="3.85546875" style="45" customWidth="1"/>
    <col min="5" max="5" width="17.7109375" style="47" customWidth="1"/>
    <col min="6" max="7" width="10.5703125" style="47" customWidth="1"/>
    <col min="8" max="8" width="3" style="47" customWidth="1"/>
    <col min="9" max="9" width="11.28515625" style="47" bestFit="1" customWidth="1"/>
    <col min="10" max="10" width="16.5703125" style="47" hidden="1" customWidth="1" outlineLevel="1"/>
    <col min="11" max="11" width="20.42578125" style="47" hidden="1" customWidth="1" outlineLevel="1"/>
    <col min="12" max="12" width="14" style="47" bestFit="1" customWidth="1" collapsed="1"/>
    <col min="13" max="13" width="14.7109375" style="47" bestFit="1" customWidth="1"/>
    <col min="14" max="14" width="12" style="47" customWidth="1"/>
    <col min="15" max="15" width="11.140625" style="47" customWidth="1" outlineLevel="1"/>
    <col min="16" max="16" width="9.85546875" style="47" customWidth="1" outlineLevel="1"/>
    <col min="17" max="17" width="9.85546875" style="47" bestFit="1" customWidth="1"/>
    <col min="18" max="18" width="16.7109375" style="47" customWidth="1"/>
    <col min="19" max="19" width="20.140625" style="47" bestFit="1" customWidth="1"/>
    <col min="20" max="20" width="10.5703125" style="47" bestFit="1" customWidth="1"/>
    <col min="21" max="23" width="12.42578125" style="47" bestFit="1" customWidth="1" outlineLevel="1"/>
    <col min="24" max="25" width="8.42578125" style="47" bestFit="1" customWidth="1" outlineLevel="1"/>
    <col min="26" max="26" width="10.5703125" style="47" customWidth="1"/>
    <col min="27" max="27" width="8.85546875" style="47" bestFit="1" customWidth="1"/>
    <col min="28" max="28" width="11.140625" style="47" customWidth="1"/>
    <col min="29" max="29" width="19.7109375" style="47" bestFit="1" customWidth="1"/>
    <col min="30" max="30" width="10.42578125" style="47" customWidth="1"/>
    <col min="31" max="31" width="13.28515625" style="47" customWidth="1"/>
    <col min="32" max="32" width="12.42578125" style="47" customWidth="1" outlineLevel="1"/>
    <col min="33" max="35" width="10.7109375" style="47" customWidth="1" outlineLevel="1"/>
    <col min="36" max="36" width="9.85546875" style="47" customWidth="1" outlineLevel="1"/>
    <col min="37" max="42" width="11.140625" style="47" customWidth="1" outlineLevel="1"/>
    <col min="43" max="43" width="11.28515625" style="47" customWidth="1" outlineLevel="1"/>
    <col min="44" max="44" width="10.28515625" style="47" customWidth="1" outlineLevel="1"/>
    <col min="45" max="45" width="11.140625" style="47" customWidth="1" outlineLevel="1"/>
    <col min="46" max="46" width="10.7109375" style="47" customWidth="1" outlineLevel="1"/>
    <col min="47" max="47" width="3.5703125" style="45" customWidth="1" outlineLevel="1"/>
    <col min="48" max="48" width="13.7109375" style="47" customWidth="1" outlineLevel="1"/>
    <col min="49" max="49" width="13.7109375" style="45" customWidth="1"/>
    <col min="50" max="51" width="9.140625" style="45" customWidth="1"/>
    <col min="52" max="53" width="19.85546875" style="46" bestFit="1" customWidth="1"/>
    <col min="54" max="16384" width="9.140625" style="45"/>
  </cols>
  <sheetData>
    <row r="1" spans="1:53">
      <c r="E1" s="239" t="s">
        <v>185</v>
      </c>
      <c r="F1" s="236" t="s">
        <v>229</v>
      </c>
      <c r="G1" s="235"/>
      <c r="H1" s="235"/>
      <c r="I1" s="235"/>
      <c r="J1" s="238"/>
      <c r="K1" s="238"/>
      <c r="L1" s="235"/>
      <c r="M1" s="237" t="s">
        <v>184</v>
      </c>
      <c r="N1" s="236" t="s">
        <v>226</v>
      </c>
      <c r="O1" s="235"/>
      <c r="P1" s="235"/>
      <c r="Q1" s="235"/>
      <c r="R1" s="235"/>
      <c r="S1" s="235"/>
      <c r="T1" s="235"/>
      <c r="U1" s="235"/>
      <c r="V1" s="235"/>
      <c r="W1" s="235"/>
      <c r="X1" s="235"/>
      <c r="Y1" s="235"/>
      <c r="Z1" s="235"/>
      <c r="AA1" s="235"/>
      <c r="AB1" s="235"/>
      <c r="AC1" s="235"/>
      <c r="AD1" s="235"/>
      <c r="AE1" s="235"/>
      <c r="AF1" s="234"/>
      <c r="AZ1" s="233"/>
      <c r="BA1" s="233"/>
    </row>
    <row r="2" spans="1:53">
      <c r="E2" s="91" t="s">
        <v>183</v>
      </c>
      <c r="F2" s="319" t="s">
        <v>228</v>
      </c>
      <c r="G2" s="319"/>
      <c r="H2" s="319"/>
      <c r="I2" s="319"/>
      <c r="J2" s="319"/>
      <c r="K2" s="319"/>
      <c r="L2" s="320"/>
      <c r="M2" s="151" t="s">
        <v>182</v>
      </c>
      <c r="N2" s="232" t="s">
        <v>227</v>
      </c>
      <c r="O2" s="45"/>
      <c r="P2" s="45"/>
      <c r="Q2" s="45"/>
      <c r="R2" s="45"/>
      <c r="S2" s="45"/>
      <c r="T2" s="45"/>
      <c r="U2" s="45"/>
      <c r="V2" s="45"/>
      <c r="W2" s="45"/>
      <c r="X2" s="45"/>
      <c r="Y2" s="45"/>
      <c r="Z2" s="45"/>
      <c r="AA2" s="45"/>
      <c r="AB2" s="45"/>
      <c r="AC2" s="45"/>
      <c r="AD2" s="45"/>
      <c r="AE2" s="45"/>
      <c r="AF2" s="90"/>
    </row>
    <row r="3" spans="1:53" s="83" customFormat="1" ht="13.5" thickBot="1">
      <c r="A3" s="45"/>
      <c r="B3" s="45"/>
      <c r="C3" s="45"/>
      <c r="D3" s="45"/>
      <c r="E3" s="84" t="s">
        <v>181</v>
      </c>
      <c r="F3" s="231" t="s">
        <v>180</v>
      </c>
      <c r="J3" s="230"/>
      <c r="K3" s="230"/>
      <c r="M3" s="229"/>
      <c r="Q3" s="228"/>
      <c r="AF3" s="79"/>
      <c r="AK3" s="228"/>
      <c r="AL3" s="228"/>
      <c r="AM3" s="228"/>
      <c r="AN3" s="228"/>
      <c r="AO3" s="228"/>
      <c r="AP3" s="228"/>
      <c r="AZ3" s="227"/>
      <c r="BA3" s="227"/>
    </row>
    <row r="4" spans="1:53">
      <c r="E4" s="91"/>
      <c r="F4" s="45"/>
      <c r="G4" s="45"/>
      <c r="H4" s="45"/>
      <c r="I4" s="45"/>
      <c r="J4" s="226"/>
      <c r="K4" s="226"/>
      <c r="L4" s="45"/>
      <c r="M4" s="45"/>
      <c r="N4" s="45"/>
      <c r="O4" s="45"/>
      <c r="P4" s="45"/>
      <c r="Q4" s="45"/>
      <c r="R4" s="45"/>
      <c r="S4" s="45"/>
      <c r="T4" s="45"/>
      <c r="U4" s="45"/>
      <c r="V4" s="45"/>
      <c r="W4" s="45"/>
      <c r="X4" s="45"/>
      <c r="Y4" s="45"/>
      <c r="Z4" s="45"/>
      <c r="AA4" s="45"/>
      <c r="AB4" s="45"/>
      <c r="AC4" s="45"/>
      <c r="AD4" s="45"/>
      <c r="AE4" s="45"/>
      <c r="AF4" s="90"/>
      <c r="AT4" s="45"/>
    </row>
    <row r="5" spans="1:53" hidden="1" outlineLevel="1">
      <c r="E5" s="91"/>
      <c r="F5" s="45"/>
      <c r="G5" s="45"/>
      <c r="H5" s="45"/>
      <c r="I5" s="45"/>
      <c r="J5" s="225"/>
      <c r="K5" s="225"/>
      <c r="L5" s="224"/>
      <c r="M5" s="45"/>
      <c r="N5" s="146" t="str">
        <f>N28&amp;"%"</f>
        <v>B%</v>
      </c>
      <c r="O5" s="146" t="str">
        <f>O28&amp;"%"</f>
        <v>%</v>
      </c>
      <c r="P5" s="146" t="str">
        <f>P28&amp;"%"</f>
        <v>%</v>
      </c>
      <c r="Q5" s="146" t="str">
        <f>Q28&amp;"%"</f>
        <v>C%</v>
      </c>
      <c r="R5" s="146" t="str">
        <f>R28&amp;"%"</f>
        <v>D%</v>
      </c>
      <c r="S5" s="146"/>
      <c r="T5" s="146"/>
      <c r="U5" s="146" t="str">
        <f t="shared" ref="U5:Z5" si="0">U28&amp;"%"</f>
        <v>%</v>
      </c>
      <c r="V5" s="146" t="str">
        <f t="shared" si="0"/>
        <v>%</v>
      </c>
      <c r="W5" s="146" t="str">
        <f t="shared" si="0"/>
        <v>%</v>
      </c>
      <c r="X5" s="146" t="str">
        <f t="shared" si="0"/>
        <v>%</v>
      </c>
      <c r="Y5" s="146" t="str">
        <f t="shared" si="0"/>
        <v>%</v>
      </c>
      <c r="Z5" s="146" t="str">
        <f t="shared" si="0"/>
        <v>E%</v>
      </c>
      <c r="AA5" s="146"/>
      <c r="AB5" s="146" t="str">
        <f>AB28&amp;"%"</f>
        <v>G%</v>
      </c>
      <c r="AC5" s="45"/>
      <c r="AD5" s="45"/>
      <c r="AE5" s="45"/>
      <c r="AF5" s="90"/>
      <c r="AJ5" s="146"/>
      <c r="AK5" s="146"/>
      <c r="AL5" s="146"/>
      <c r="AM5" s="146"/>
      <c r="AN5" s="146"/>
      <c r="AO5" s="146"/>
      <c r="AP5" s="146"/>
      <c r="AQ5" s="146"/>
      <c r="AR5" s="146"/>
      <c r="AS5" s="146"/>
      <c r="AT5" s="220"/>
      <c r="AU5" s="143"/>
    </row>
    <row r="6" spans="1:53" hidden="1" outlineLevel="1">
      <c r="E6" s="91"/>
      <c r="F6" s="45"/>
      <c r="G6" s="45"/>
      <c r="H6" s="45"/>
      <c r="I6" s="223"/>
      <c r="J6" s="221"/>
      <c r="K6" s="146"/>
      <c r="L6" s="222">
        <f t="shared" ref="L6:R6" ca="1" si="1">COLUMN(L6)-COLUMN(OFFSET($L6,0,-1))</f>
        <v>1</v>
      </c>
      <c r="M6" s="222">
        <f t="shared" ca="1" si="1"/>
        <v>2</v>
      </c>
      <c r="N6" s="222">
        <f t="shared" ca="1" si="1"/>
        <v>3</v>
      </c>
      <c r="O6" s="222">
        <f t="shared" ca="1" si="1"/>
        <v>4</v>
      </c>
      <c r="P6" s="222">
        <f t="shared" ca="1" si="1"/>
        <v>5</v>
      </c>
      <c r="Q6" s="222">
        <f t="shared" ca="1" si="1"/>
        <v>6</v>
      </c>
      <c r="R6" s="222">
        <f t="shared" ca="1" si="1"/>
        <v>7</v>
      </c>
      <c r="S6" s="222"/>
      <c r="T6" s="222"/>
      <c r="U6" s="222">
        <f t="shared" ref="U6:Z6" ca="1" si="2">COLUMN(U6)-COLUMN(OFFSET($L6,0,-1))</f>
        <v>10</v>
      </c>
      <c r="V6" s="222">
        <f t="shared" ca="1" si="2"/>
        <v>11</v>
      </c>
      <c r="W6" s="222">
        <f t="shared" ca="1" si="2"/>
        <v>12</v>
      </c>
      <c r="X6" s="222">
        <f t="shared" ca="1" si="2"/>
        <v>13</v>
      </c>
      <c r="Y6" s="222">
        <f t="shared" ca="1" si="2"/>
        <v>14</v>
      </c>
      <c r="Z6" s="222">
        <f t="shared" ca="1" si="2"/>
        <v>15</v>
      </c>
      <c r="AA6" s="222"/>
      <c r="AB6" s="222">
        <f ca="1">COLUMN(AB6)-COLUMN(OFFSET($L6,0,-1))</f>
        <v>17</v>
      </c>
      <c r="AC6" s="45"/>
      <c r="AD6" s="45"/>
      <c r="AE6" s="45"/>
      <c r="AF6" s="90"/>
      <c r="AG6" s="221"/>
      <c r="AH6" s="221"/>
      <c r="AI6" s="221"/>
      <c r="AJ6" s="146"/>
      <c r="AK6" s="146"/>
      <c r="AL6" s="146"/>
      <c r="AM6" s="146"/>
      <c r="AN6" s="146"/>
      <c r="AO6" s="146"/>
      <c r="AP6" s="146"/>
      <c r="AQ6" s="146"/>
      <c r="AR6" s="146"/>
      <c r="AS6" s="146"/>
      <c r="AT6" s="220"/>
      <c r="AU6" s="143"/>
    </row>
    <row r="7" spans="1:53" collapsed="1">
      <c r="E7" s="219"/>
      <c r="F7" s="139" t="s">
        <v>179</v>
      </c>
      <c r="G7" s="139" t="s">
        <v>178</v>
      </c>
      <c r="H7" s="139"/>
      <c r="I7" s="69"/>
      <c r="J7" s="213"/>
      <c r="K7" s="213"/>
      <c r="L7" s="218"/>
      <c r="M7" s="217"/>
      <c r="N7" s="217"/>
      <c r="O7" s="217"/>
      <c r="P7" s="217"/>
      <c r="Q7" s="217" t="s">
        <v>261</v>
      </c>
      <c r="R7" s="217"/>
      <c r="S7" s="217"/>
      <c r="T7" s="217"/>
      <c r="U7" s="217"/>
      <c r="V7" s="217"/>
      <c r="W7" s="217"/>
      <c r="X7" s="217"/>
      <c r="Y7" s="217"/>
      <c r="Z7" s="217" t="str">
        <f>$Q7</f>
        <v>Contr/Govt</v>
      </c>
      <c r="AA7" s="217"/>
      <c r="AB7" s="216"/>
      <c r="AC7" s="45"/>
      <c r="AD7" s="45"/>
      <c r="AE7" s="45"/>
      <c r="AF7" s="215"/>
      <c r="AG7" s="214"/>
      <c r="AH7" s="214"/>
      <c r="AI7" s="214"/>
      <c r="AJ7" s="213"/>
      <c r="AK7" s="213"/>
      <c r="AL7" s="213"/>
      <c r="AM7" s="213"/>
      <c r="AN7" s="213"/>
      <c r="AO7" s="213"/>
      <c r="AP7" s="213"/>
      <c r="AQ7" s="213"/>
      <c r="AR7" s="213"/>
      <c r="AS7" s="212"/>
      <c r="AT7" s="151"/>
    </row>
    <row r="8" spans="1:53" ht="14.25" customHeight="1">
      <c r="E8" s="211" t="s">
        <v>269</v>
      </c>
      <c r="F8" s="210">
        <v>40179</v>
      </c>
      <c r="G8" s="209">
        <v>41152</v>
      </c>
      <c r="H8" s="208"/>
      <c r="I8" s="164"/>
      <c r="J8" s="205" t="s">
        <v>177</v>
      </c>
      <c r="K8" s="205" t="s">
        <v>176</v>
      </c>
      <c r="L8" s="75" t="s">
        <v>175</v>
      </c>
      <c r="M8" s="205" t="s">
        <v>174</v>
      </c>
      <c r="N8" s="205" t="s">
        <v>173</v>
      </c>
      <c r="O8" s="205" t="s">
        <v>172</v>
      </c>
      <c r="P8" s="205" t="s">
        <v>171</v>
      </c>
      <c r="Q8" s="205" t="s">
        <v>170</v>
      </c>
      <c r="R8" s="205" t="s">
        <v>169</v>
      </c>
      <c r="S8" s="205" t="s">
        <v>168</v>
      </c>
      <c r="T8" s="205" t="s">
        <v>167</v>
      </c>
      <c r="U8" s="205" t="s">
        <v>166</v>
      </c>
      <c r="V8" s="205" t="s">
        <v>187</v>
      </c>
      <c r="W8" s="205" t="s">
        <v>164</v>
      </c>
      <c r="X8" s="205" t="s">
        <v>163</v>
      </c>
      <c r="Y8" s="205" t="s">
        <v>162</v>
      </c>
      <c r="Z8" s="205" t="s">
        <v>161</v>
      </c>
      <c r="AA8" s="205" t="s">
        <v>160</v>
      </c>
      <c r="AB8" s="71" t="s">
        <v>159</v>
      </c>
      <c r="AC8" s="45"/>
      <c r="AD8" s="45"/>
      <c r="AE8" s="45"/>
      <c r="AF8" s="207" t="s">
        <v>158</v>
      </c>
      <c r="AG8" s="206"/>
      <c r="AH8" s="206"/>
      <c r="AI8" s="206"/>
      <c r="AJ8" s="205"/>
      <c r="AK8" s="205"/>
      <c r="AL8" s="205"/>
      <c r="AM8" s="205"/>
      <c r="AN8" s="205"/>
      <c r="AO8" s="205"/>
      <c r="AP8" s="205"/>
      <c r="AQ8" s="205"/>
      <c r="AR8" s="205"/>
      <c r="AS8" s="205"/>
      <c r="AT8" s="151"/>
    </row>
    <row r="9" spans="1:53" hidden="1">
      <c r="B9" s="45">
        <v>750</v>
      </c>
      <c r="E9" s="91"/>
      <c r="F9" s="45"/>
      <c r="G9" s="45"/>
      <c r="H9" s="45"/>
      <c r="I9" s="164"/>
      <c r="J9" s="193" t="s">
        <v>262</v>
      </c>
      <c r="K9" s="192" t="s">
        <v>157</v>
      </c>
      <c r="L9" s="172" t="s">
        <v>157</v>
      </c>
      <c r="M9" s="190">
        <v>3.3000000000000002E-2</v>
      </c>
      <c r="N9" s="189">
        <v>1.0535182089062498</v>
      </c>
      <c r="O9" s="188">
        <v>0.35</v>
      </c>
      <c r="P9" s="188">
        <v>0.35</v>
      </c>
      <c r="Q9" s="184">
        <v>0.31240000000000001</v>
      </c>
      <c r="R9" s="184">
        <v>0.1988</v>
      </c>
      <c r="S9" s="184"/>
      <c r="T9" s="184"/>
      <c r="U9" s="203">
        <v>5000</v>
      </c>
      <c r="V9" s="203">
        <v>5000</v>
      </c>
      <c r="W9" s="188">
        <v>0.35</v>
      </c>
      <c r="X9" s="188">
        <v>0.35</v>
      </c>
      <c r="Y9" s="188">
        <v>0.35</v>
      </c>
      <c r="Z9" s="184">
        <v>9.2399999999999996E-2</v>
      </c>
      <c r="AA9" s="187"/>
      <c r="AB9" s="167">
        <v>0.15</v>
      </c>
      <c r="AC9" s="45"/>
      <c r="AD9" s="45"/>
      <c r="AE9" s="45"/>
      <c r="AF9" s="195">
        <f t="shared" ref="AF9:AF24" si="3">IF(M9="","",M9)</f>
        <v>3.3000000000000002E-2</v>
      </c>
      <c r="AG9" s="185"/>
      <c r="AH9" s="185"/>
      <c r="AI9" s="185"/>
      <c r="AJ9" s="184"/>
      <c r="AK9" s="184"/>
      <c r="AL9" s="184"/>
      <c r="AM9" s="184"/>
      <c r="AN9" s="184"/>
      <c r="AO9" s="184"/>
      <c r="AP9" s="184"/>
      <c r="AQ9" s="184"/>
      <c r="AR9" s="184"/>
      <c r="AS9" s="184"/>
      <c r="AT9" s="151"/>
    </row>
    <row r="10" spans="1:53" ht="15" customHeight="1">
      <c r="B10" s="45">
        <f>B9/3</f>
        <v>250</v>
      </c>
      <c r="E10" s="91"/>
      <c r="F10" s="45"/>
      <c r="G10" s="45"/>
      <c r="H10" s="45"/>
      <c r="I10" s="164"/>
      <c r="J10" s="174" t="str">
        <f>J$9</f>
        <v>IS</v>
      </c>
      <c r="K10" s="173" t="s">
        <v>120</v>
      </c>
      <c r="L10" s="200" t="s">
        <v>120</v>
      </c>
      <c r="M10" s="190">
        <v>3.3000000000000002E-2</v>
      </c>
      <c r="N10" s="189">
        <v>1.0535182089062498</v>
      </c>
      <c r="O10" s="197">
        <v>0</v>
      </c>
      <c r="P10" s="197">
        <v>0</v>
      </c>
      <c r="Q10" s="184">
        <v>0.31240000000000001</v>
      </c>
      <c r="R10" s="184">
        <v>2.23E-2</v>
      </c>
      <c r="S10" s="204"/>
      <c r="T10" s="204"/>
      <c r="U10" s="245">
        <v>0</v>
      </c>
      <c r="V10" s="203">
        <v>242</v>
      </c>
      <c r="W10" s="202">
        <v>0</v>
      </c>
      <c r="X10" s="197">
        <v>1.9E-2</v>
      </c>
      <c r="Y10" s="201">
        <v>0</v>
      </c>
      <c r="Z10" s="184">
        <v>9.2399999999999996E-2</v>
      </c>
      <c r="AA10" s="196"/>
      <c r="AB10" s="186">
        <f>'Pricing Summary'!C52</f>
        <v>0.08</v>
      </c>
      <c r="AC10" s="45"/>
      <c r="AD10" s="45"/>
      <c r="AE10" s="45"/>
      <c r="AF10" s="195">
        <f t="shared" si="3"/>
        <v>3.3000000000000002E-2</v>
      </c>
      <c r="AG10" s="194"/>
      <c r="AH10" s="194"/>
      <c r="AI10" s="194"/>
      <c r="AJ10" s="184"/>
      <c r="AK10" s="184"/>
      <c r="AL10" s="184"/>
      <c r="AM10" s="184"/>
      <c r="AN10" s="184"/>
      <c r="AO10" s="184"/>
      <c r="AP10" s="184"/>
      <c r="AQ10" s="184"/>
      <c r="AR10" s="184"/>
      <c r="AS10" s="184"/>
      <c r="AT10" s="151"/>
    </row>
    <row r="11" spans="1:53" hidden="1" outlineLevel="1">
      <c r="E11" s="91"/>
      <c r="F11" s="45"/>
      <c r="G11" s="45"/>
      <c r="H11" s="45"/>
      <c r="I11" s="164"/>
      <c r="J11" s="174" t="str">
        <f>J$9</f>
        <v>IS</v>
      </c>
      <c r="K11" s="173" t="str">
        <f>K$9</f>
        <v>Contr</v>
      </c>
      <c r="L11" s="200" t="s">
        <v>156</v>
      </c>
      <c r="M11" s="199">
        <v>0</v>
      </c>
      <c r="N11" s="198">
        <v>1</v>
      </c>
      <c r="O11" s="188">
        <v>0</v>
      </c>
      <c r="P11" s="197">
        <v>0</v>
      </c>
      <c r="Q11" s="184">
        <v>0.31240000000000001</v>
      </c>
      <c r="R11" s="184">
        <v>0.1988</v>
      </c>
      <c r="S11" s="184"/>
      <c r="T11" s="184"/>
      <c r="U11" s="197">
        <v>0</v>
      </c>
      <c r="V11" s="197">
        <v>0</v>
      </c>
      <c r="W11" s="197">
        <v>0</v>
      </c>
      <c r="X11" s="197">
        <v>0</v>
      </c>
      <c r="Y11" s="197">
        <v>0</v>
      </c>
      <c r="Z11" s="184">
        <v>9.2399999999999996E-2</v>
      </c>
      <c r="AA11" s="196"/>
      <c r="AB11" s="186">
        <f t="shared" ref="AB11:AB20" si="4">AB10</f>
        <v>0.08</v>
      </c>
      <c r="AC11" s="45"/>
      <c r="AD11" s="45"/>
      <c r="AE11" s="45"/>
      <c r="AF11" s="195">
        <f t="shared" si="3"/>
        <v>0</v>
      </c>
      <c r="AG11" s="194"/>
      <c r="AH11" s="194"/>
      <c r="AI11" s="194"/>
      <c r="AJ11" s="184"/>
      <c r="AK11" s="184"/>
      <c r="AL11" s="184"/>
      <c r="AM11" s="184"/>
      <c r="AN11" s="184"/>
      <c r="AO11" s="184"/>
      <c r="AP11" s="184"/>
      <c r="AQ11" s="184"/>
      <c r="AR11" s="184"/>
      <c r="AS11" s="184"/>
      <c r="AT11" s="151"/>
    </row>
    <row r="12" spans="1:53" hidden="1" outlineLevel="1">
      <c r="E12" s="91"/>
      <c r="F12" s="45"/>
      <c r="G12" s="45"/>
      <c r="H12" s="45"/>
      <c r="I12" s="164"/>
      <c r="J12" s="174" t="str">
        <f>J$9</f>
        <v>IS</v>
      </c>
      <c r="K12" s="173" t="str">
        <f>K$10</f>
        <v>Govt</v>
      </c>
      <c r="L12" s="200" t="s">
        <v>155</v>
      </c>
      <c r="M12" s="199">
        <v>0</v>
      </c>
      <c r="N12" s="198">
        <v>1</v>
      </c>
      <c r="O12" s="197">
        <v>0</v>
      </c>
      <c r="P12" s="197">
        <v>0</v>
      </c>
      <c r="Q12" s="184">
        <v>0.31240000000000001</v>
      </c>
      <c r="R12" s="184">
        <v>2.23E-2</v>
      </c>
      <c r="S12" s="184"/>
      <c r="T12" s="184"/>
      <c r="U12" s="197">
        <v>0</v>
      </c>
      <c r="V12" s="197">
        <v>0</v>
      </c>
      <c r="W12" s="197">
        <v>0</v>
      </c>
      <c r="X12" s="197">
        <v>0</v>
      </c>
      <c r="Y12" s="197">
        <v>0</v>
      </c>
      <c r="Z12" s="184">
        <v>9.2399999999999996E-2</v>
      </c>
      <c r="AA12" s="196"/>
      <c r="AB12" s="186">
        <f t="shared" si="4"/>
        <v>0.08</v>
      </c>
      <c r="AC12" s="45"/>
      <c r="AD12" s="45"/>
      <c r="AE12" s="45"/>
      <c r="AF12" s="195">
        <f t="shared" si="3"/>
        <v>0</v>
      </c>
      <c r="AG12" s="194"/>
      <c r="AH12" s="194"/>
      <c r="AI12" s="194"/>
      <c r="AJ12" s="184"/>
      <c r="AK12" s="184"/>
      <c r="AL12" s="184"/>
      <c r="AM12" s="184"/>
      <c r="AN12" s="184"/>
      <c r="AO12" s="184"/>
      <c r="AP12" s="184"/>
      <c r="AQ12" s="184"/>
      <c r="AR12" s="184"/>
      <c r="AS12" s="184"/>
      <c r="AT12" s="151"/>
    </row>
    <row r="13" spans="1:53" hidden="1" outlineLevel="1">
      <c r="E13" s="91"/>
      <c r="F13" s="45"/>
      <c r="G13" s="45"/>
      <c r="H13" s="45"/>
      <c r="I13" s="164"/>
      <c r="J13" s="174" t="s">
        <v>263</v>
      </c>
      <c r="K13" s="173" t="str">
        <f>K$9</f>
        <v>Contr</v>
      </c>
      <c r="L13" s="200" t="s">
        <v>154</v>
      </c>
      <c r="M13" s="190">
        <v>3.3000000000000002E-2</v>
      </c>
      <c r="N13" s="189">
        <v>1.0535182089062498</v>
      </c>
      <c r="O13" s="188">
        <v>0</v>
      </c>
      <c r="P13" s="188">
        <v>0</v>
      </c>
      <c r="Q13" s="184">
        <v>0.35099999999999998</v>
      </c>
      <c r="R13" s="184">
        <v>0.17249999999999999</v>
      </c>
      <c r="S13" s="184"/>
      <c r="T13" s="184"/>
      <c r="U13" s="188">
        <v>0</v>
      </c>
      <c r="V13" s="188">
        <v>0</v>
      </c>
      <c r="W13" s="188">
        <v>0</v>
      </c>
      <c r="X13" s="188">
        <v>0</v>
      </c>
      <c r="Y13" s="188">
        <v>0</v>
      </c>
      <c r="Z13" s="184">
        <v>9.0899999999999995E-2</v>
      </c>
      <c r="AA13" s="196"/>
      <c r="AB13" s="186">
        <f t="shared" si="4"/>
        <v>0.08</v>
      </c>
      <c r="AC13" s="45"/>
      <c r="AD13" s="45"/>
      <c r="AE13" s="45"/>
      <c r="AF13" s="195">
        <f t="shared" si="3"/>
        <v>3.3000000000000002E-2</v>
      </c>
      <c r="AG13" s="194"/>
      <c r="AH13" s="194"/>
      <c r="AI13" s="194"/>
      <c r="AJ13" s="184"/>
      <c r="AK13" s="184"/>
      <c r="AL13" s="184"/>
      <c r="AM13" s="184"/>
      <c r="AN13" s="184"/>
      <c r="AO13" s="184"/>
      <c r="AP13" s="184"/>
      <c r="AQ13" s="184"/>
      <c r="AR13" s="184"/>
      <c r="AS13" s="184"/>
      <c r="AT13" s="151"/>
    </row>
    <row r="14" spans="1:53" hidden="1" outlineLevel="1">
      <c r="E14" s="91"/>
      <c r="F14" s="45"/>
      <c r="G14" s="45"/>
      <c r="H14" s="45"/>
      <c r="I14" s="164"/>
      <c r="J14" s="174" t="str">
        <f>J13</f>
        <v>ESD</v>
      </c>
      <c r="K14" s="173" t="str">
        <f>K$10</f>
        <v>Govt</v>
      </c>
      <c r="L14" s="200" t="s">
        <v>153</v>
      </c>
      <c r="M14" s="190">
        <v>3.3000000000000002E-2</v>
      </c>
      <c r="N14" s="189">
        <v>1.0535182089062498</v>
      </c>
      <c r="O14" s="197">
        <v>0</v>
      </c>
      <c r="P14" s="197">
        <v>0</v>
      </c>
      <c r="Q14" s="184">
        <v>0.35099999999999998</v>
      </c>
      <c r="R14" s="184">
        <v>3.1E-2</v>
      </c>
      <c r="S14" s="184"/>
      <c r="T14" s="184"/>
      <c r="U14" s="197">
        <v>0</v>
      </c>
      <c r="V14" s="197">
        <v>0</v>
      </c>
      <c r="W14" s="197">
        <v>0</v>
      </c>
      <c r="X14" s="197">
        <v>0</v>
      </c>
      <c r="Y14" s="197">
        <v>0</v>
      </c>
      <c r="Z14" s="184">
        <v>9.0899999999999995E-2</v>
      </c>
      <c r="AA14" s="196"/>
      <c r="AB14" s="186">
        <f t="shared" si="4"/>
        <v>0.08</v>
      </c>
      <c r="AC14" s="45"/>
      <c r="AD14" s="45"/>
      <c r="AE14" s="45"/>
      <c r="AF14" s="195">
        <f t="shared" si="3"/>
        <v>3.3000000000000002E-2</v>
      </c>
      <c r="AG14" s="194"/>
      <c r="AH14" s="194"/>
      <c r="AI14" s="194"/>
      <c r="AJ14" s="184"/>
      <c r="AK14" s="184"/>
      <c r="AL14" s="184"/>
      <c r="AM14" s="184"/>
      <c r="AN14" s="184"/>
      <c r="AO14" s="184"/>
      <c r="AP14" s="184"/>
      <c r="AQ14" s="184"/>
      <c r="AR14" s="184"/>
      <c r="AS14" s="184"/>
      <c r="AT14" s="151"/>
    </row>
    <row r="15" spans="1:53" hidden="1" outlineLevel="1">
      <c r="E15" s="91"/>
      <c r="F15" s="45"/>
      <c r="G15" s="45"/>
      <c r="H15" s="45"/>
      <c r="I15" s="164"/>
      <c r="J15" s="174" t="s">
        <v>263</v>
      </c>
      <c r="K15" s="173" t="str">
        <f>K$9</f>
        <v>Contr</v>
      </c>
      <c r="L15" s="200" t="s">
        <v>152</v>
      </c>
      <c r="M15" s="190">
        <v>3.3000000000000002E-2</v>
      </c>
      <c r="N15" s="189">
        <v>1.0535182089062498</v>
      </c>
      <c r="O15" s="188">
        <v>0</v>
      </c>
      <c r="P15" s="188">
        <v>0</v>
      </c>
      <c r="Q15" s="184">
        <v>0.35099999999999998</v>
      </c>
      <c r="R15" s="184">
        <v>0.17249999999999999</v>
      </c>
      <c r="S15" s="184"/>
      <c r="T15" s="184"/>
      <c r="U15" s="188">
        <v>0</v>
      </c>
      <c r="V15" s="188">
        <v>0</v>
      </c>
      <c r="W15" s="188">
        <v>0</v>
      </c>
      <c r="X15" s="188">
        <v>0</v>
      </c>
      <c r="Y15" s="188">
        <v>0</v>
      </c>
      <c r="Z15" s="184">
        <v>9.0899999999999995E-2</v>
      </c>
      <c r="AA15" s="196"/>
      <c r="AB15" s="186">
        <f t="shared" si="4"/>
        <v>0.08</v>
      </c>
      <c r="AC15" s="45"/>
      <c r="AD15" s="45"/>
      <c r="AE15" s="45"/>
      <c r="AF15" s="195">
        <f t="shared" si="3"/>
        <v>3.3000000000000002E-2</v>
      </c>
      <c r="AG15" s="194"/>
      <c r="AH15" s="194"/>
      <c r="AI15" s="194"/>
      <c r="AJ15" s="184"/>
      <c r="AK15" s="184"/>
      <c r="AL15" s="184"/>
      <c r="AM15" s="184"/>
      <c r="AN15" s="184"/>
      <c r="AO15" s="184"/>
      <c r="AP15" s="184"/>
      <c r="AQ15" s="184"/>
      <c r="AR15" s="184"/>
      <c r="AS15" s="184"/>
      <c r="AT15" s="151"/>
    </row>
    <row r="16" spans="1:53" hidden="1" outlineLevel="1">
      <c r="E16" s="91"/>
      <c r="F16" s="45"/>
      <c r="G16" s="45"/>
      <c r="H16" s="45"/>
      <c r="I16" s="164"/>
      <c r="J16" s="174" t="str">
        <f>J15</f>
        <v>ESD</v>
      </c>
      <c r="K16" s="173" t="str">
        <f>K$10</f>
        <v>Govt</v>
      </c>
      <c r="L16" s="200" t="s">
        <v>151</v>
      </c>
      <c r="M16" s="190">
        <v>3.3000000000000002E-2</v>
      </c>
      <c r="N16" s="189">
        <v>1.0535182089062498</v>
      </c>
      <c r="O16" s="197">
        <v>0</v>
      </c>
      <c r="P16" s="197">
        <v>0</v>
      </c>
      <c r="Q16" s="184">
        <v>0.35099999999999998</v>
      </c>
      <c r="R16" s="184">
        <v>3.1E-2</v>
      </c>
      <c r="S16" s="184"/>
      <c r="T16" s="184"/>
      <c r="U16" s="197">
        <v>0</v>
      </c>
      <c r="V16" s="197">
        <v>0</v>
      </c>
      <c r="W16" s="197">
        <v>0</v>
      </c>
      <c r="X16" s="197">
        <v>0</v>
      </c>
      <c r="Y16" s="197">
        <v>0</v>
      </c>
      <c r="Z16" s="184">
        <v>9.0899999999999995E-2</v>
      </c>
      <c r="AA16" s="196"/>
      <c r="AB16" s="186">
        <f t="shared" si="4"/>
        <v>0.08</v>
      </c>
      <c r="AC16" s="45"/>
      <c r="AD16" s="45"/>
      <c r="AE16" s="45"/>
      <c r="AF16" s="195">
        <f t="shared" si="3"/>
        <v>3.3000000000000002E-2</v>
      </c>
      <c r="AG16" s="194"/>
      <c r="AH16" s="194"/>
      <c r="AI16" s="194"/>
      <c r="AJ16" s="184"/>
      <c r="AK16" s="184"/>
      <c r="AL16" s="184"/>
      <c r="AM16" s="184"/>
      <c r="AN16" s="184"/>
      <c r="AO16" s="184"/>
      <c r="AP16" s="184"/>
      <c r="AQ16" s="184"/>
      <c r="AR16" s="184"/>
      <c r="AS16" s="184"/>
      <c r="AT16" s="151"/>
    </row>
    <row r="17" spans="4:53" hidden="1" outlineLevel="1">
      <c r="E17" s="91"/>
      <c r="F17" s="45"/>
      <c r="G17" s="45"/>
      <c r="H17" s="45"/>
      <c r="I17" s="164"/>
      <c r="J17" s="174" t="str">
        <f>J$9</f>
        <v>IS</v>
      </c>
      <c r="K17" s="173" t="str">
        <f>K$9</f>
        <v>Contr</v>
      </c>
      <c r="L17" s="200" t="s">
        <v>150</v>
      </c>
      <c r="M17" s="190">
        <v>3.3000000000000002E-2</v>
      </c>
      <c r="N17" s="189">
        <v>1.0535182089062498</v>
      </c>
      <c r="O17" s="197">
        <v>0.5</v>
      </c>
      <c r="P17" s="197">
        <v>0</v>
      </c>
      <c r="Q17" s="184">
        <v>0.31240000000000001</v>
      </c>
      <c r="R17" s="184">
        <v>0.1988</v>
      </c>
      <c r="S17" s="184"/>
      <c r="T17" s="184"/>
      <c r="U17" s="197">
        <v>0</v>
      </c>
      <c r="V17" s="197">
        <v>0</v>
      </c>
      <c r="W17" s="197">
        <v>0</v>
      </c>
      <c r="X17" s="197">
        <v>0</v>
      </c>
      <c r="Y17" s="197">
        <v>0</v>
      </c>
      <c r="Z17" s="184">
        <v>9.2399999999999996E-2</v>
      </c>
      <c r="AA17" s="196"/>
      <c r="AB17" s="186">
        <f t="shared" si="4"/>
        <v>0.08</v>
      </c>
      <c r="AC17" s="45"/>
      <c r="AD17" s="45"/>
      <c r="AE17" s="45"/>
      <c r="AF17" s="195">
        <f t="shared" si="3"/>
        <v>3.3000000000000002E-2</v>
      </c>
      <c r="AG17" s="194"/>
      <c r="AH17" s="194"/>
      <c r="AI17" s="194"/>
      <c r="AJ17" s="184"/>
      <c r="AK17" s="184"/>
      <c r="AL17" s="184"/>
      <c r="AM17" s="184"/>
      <c r="AN17" s="184"/>
      <c r="AO17" s="184"/>
      <c r="AP17" s="184"/>
      <c r="AQ17" s="184"/>
      <c r="AR17" s="184"/>
      <c r="AS17" s="184"/>
      <c r="AT17" s="151"/>
    </row>
    <row r="18" spans="4:53" hidden="1" outlineLevel="1">
      <c r="E18" s="91"/>
      <c r="F18" s="45"/>
      <c r="G18" s="45"/>
      <c r="H18" s="45"/>
      <c r="I18" s="164"/>
      <c r="J18" s="174" t="str">
        <f t="shared" ref="J18:J24" si="5">J$9</f>
        <v>IS</v>
      </c>
      <c r="K18" s="173" t="str">
        <f>K$10</f>
        <v>Govt</v>
      </c>
      <c r="L18" s="200" t="s">
        <v>149</v>
      </c>
      <c r="M18" s="190">
        <v>3.3000000000000002E-2</v>
      </c>
      <c r="N18" s="189">
        <v>1.0535182089062498</v>
      </c>
      <c r="O18" s="197">
        <v>0.5</v>
      </c>
      <c r="P18" s="197">
        <v>0</v>
      </c>
      <c r="Q18" s="184">
        <v>0.31240000000000001</v>
      </c>
      <c r="R18" s="184">
        <v>2.23E-2</v>
      </c>
      <c r="S18" s="184"/>
      <c r="T18" s="184"/>
      <c r="U18" s="197">
        <v>0</v>
      </c>
      <c r="V18" s="197">
        <v>0</v>
      </c>
      <c r="W18" s="197">
        <v>0</v>
      </c>
      <c r="X18" s="197">
        <v>0</v>
      </c>
      <c r="Y18" s="197">
        <v>0</v>
      </c>
      <c r="Z18" s="184">
        <v>9.2399999999999996E-2</v>
      </c>
      <c r="AA18" s="196"/>
      <c r="AB18" s="186">
        <f t="shared" si="4"/>
        <v>0.08</v>
      </c>
      <c r="AC18" s="45"/>
      <c r="AD18" s="45"/>
      <c r="AE18" s="45"/>
      <c r="AF18" s="195">
        <f t="shared" si="3"/>
        <v>3.3000000000000002E-2</v>
      </c>
      <c r="AG18" s="194"/>
      <c r="AH18" s="194"/>
      <c r="AI18" s="194"/>
      <c r="AJ18" s="184"/>
      <c r="AK18" s="184"/>
      <c r="AL18" s="184"/>
      <c r="AM18" s="184"/>
      <c r="AN18" s="184"/>
      <c r="AO18" s="184"/>
      <c r="AP18" s="184"/>
      <c r="AQ18" s="184"/>
      <c r="AR18" s="184"/>
      <c r="AS18" s="184"/>
      <c r="AT18" s="151"/>
    </row>
    <row r="19" spans="4:53" hidden="1" outlineLevel="1">
      <c r="E19" s="91"/>
      <c r="F19" s="45"/>
      <c r="G19" s="45"/>
      <c r="H19" s="45"/>
      <c r="I19" s="164"/>
      <c r="J19" s="174" t="str">
        <f t="shared" si="5"/>
        <v>IS</v>
      </c>
      <c r="K19" s="173" t="str">
        <f>K$9</f>
        <v>Contr</v>
      </c>
      <c r="L19" s="200" t="s">
        <v>148</v>
      </c>
      <c r="M19" s="199">
        <v>0</v>
      </c>
      <c r="N19" s="198">
        <v>1</v>
      </c>
      <c r="O19" s="188">
        <v>0.5</v>
      </c>
      <c r="P19" s="188">
        <v>0</v>
      </c>
      <c r="Q19" s="184">
        <v>0.31240000000000001</v>
      </c>
      <c r="R19" s="184">
        <v>0.1988</v>
      </c>
      <c r="S19" s="184"/>
      <c r="T19" s="184"/>
      <c r="U19" s="188">
        <v>0</v>
      </c>
      <c r="V19" s="188">
        <v>0</v>
      </c>
      <c r="W19" s="188">
        <v>0</v>
      </c>
      <c r="X19" s="188">
        <v>0</v>
      </c>
      <c r="Y19" s="188">
        <v>0</v>
      </c>
      <c r="Z19" s="184">
        <v>9.2399999999999996E-2</v>
      </c>
      <c r="AA19" s="196"/>
      <c r="AB19" s="186">
        <f t="shared" si="4"/>
        <v>0.08</v>
      </c>
      <c r="AC19" s="45"/>
      <c r="AD19" s="45"/>
      <c r="AE19" s="45"/>
      <c r="AF19" s="195">
        <f t="shared" si="3"/>
        <v>0</v>
      </c>
      <c r="AG19" s="194"/>
      <c r="AH19" s="194"/>
      <c r="AI19" s="194"/>
      <c r="AJ19" s="184"/>
      <c r="AK19" s="184"/>
      <c r="AL19" s="184"/>
      <c r="AM19" s="184"/>
      <c r="AN19" s="184"/>
      <c r="AO19" s="184"/>
      <c r="AP19" s="184"/>
      <c r="AQ19" s="184"/>
      <c r="AR19" s="184"/>
      <c r="AS19" s="184"/>
      <c r="AT19" s="151"/>
    </row>
    <row r="20" spans="4:53" hidden="1" outlineLevel="1">
      <c r="E20" s="91"/>
      <c r="F20" s="45"/>
      <c r="G20" s="45"/>
      <c r="H20" s="45"/>
      <c r="I20" s="164"/>
      <c r="J20" s="174" t="str">
        <f t="shared" si="5"/>
        <v>IS</v>
      </c>
      <c r="K20" s="173" t="str">
        <f>K$10</f>
        <v>Govt</v>
      </c>
      <c r="L20" s="200" t="s">
        <v>147</v>
      </c>
      <c r="M20" s="199">
        <v>0</v>
      </c>
      <c r="N20" s="198">
        <v>1</v>
      </c>
      <c r="O20" s="197">
        <v>0.5</v>
      </c>
      <c r="P20" s="197">
        <v>0</v>
      </c>
      <c r="Q20" s="184">
        <v>0.31240000000000001</v>
      </c>
      <c r="R20" s="184">
        <v>2.23E-2</v>
      </c>
      <c r="S20" s="184"/>
      <c r="T20" s="184"/>
      <c r="U20" s="197">
        <v>0</v>
      </c>
      <c r="V20" s="197">
        <v>0</v>
      </c>
      <c r="W20" s="197">
        <v>0</v>
      </c>
      <c r="X20" s="197">
        <v>0</v>
      </c>
      <c r="Y20" s="197">
        <v>0</v>
      </c>
      <c r="Z20" s="184">
        <v>9.2399999999999996E-2</v>
      </c>
      <c r="AA20" s="196"/>
      <c r="AB20" s="186">
        <f t="shared" si="4"/>
        <v>0.08</v>
      </c>
      <c r="AC20" s="45"/>
      <c r="AD20" s="45"/>
      <c r="AE20" s="45"/>
      <c r="AF20" s="195">
        <f t="shared" si="3"/>
        <v>0</v>
      </c>
      <c r="AG20" s="194"/>
      <c r="AH20" s="194"/>
      <c r="AI20" s="194"/>
      <c r="AJ20" s="184"/>
      <c r="AK20" s="184"/>
      <c r="AL20" s="184"/>
      <c r="AM20" s="184"/>
      <c r="AN20" s="184"/>
      <c r="AO20" s="184"/>
      <c r="AP20" s="184"/>
      <c r="AQ20" s="184"/>
      <c r="AR20" s="184"/>
      <c r="AS20" s="184"/>
      <c r="AT20" s="151"/>
    </row>
    <row r="21" spans="4:53" collapsed="1">
      <c r="E21" s="91"/>
      <c r="F21" s="45"/>
      <c r="G21" s="45"/>
      <c r="H21" s="45"/>
      <c r="I21" s="164"/>
      <c r="J21" s="193" t="str">
        <f t="shared" si="5"/>
        <v>IS</v>
      </c>
      <c r="K21" s="192" t="s">
        <v>261</v>
      </c>
      <c r="L21" s="191" t="s">
        <v>119</v>
      </c>
      <c r="M21" s="190">
        <v>0</v>
      </c>
      <c r="N21" s="189">
        <v>1</v>
      </c>
      <c r="O21" s="188">
        <v>0</v>
      </c>
      <c r="P21" s="188">
        <v>0</v>
      </c>
      <c r="Q21" s="184"/>
      <c r="R21" s="184">
        <v>2.9899999999999999E-2</v>
      </c>
      <c r="S21" s="184"/>
      <c r="T21" s="184"/>
      <c r="U21" s="188">
        <v>0</v>
      </c>
      <c r="V21" s="188">
        <v>0</v>
      </c>
      <c r="W21" s="188">
        <v>0</v>
      </c>
      <c r="X21" s="188">
        <v>0</v>
      </c>
      <c r="Y21" s="188">
        <v>0</v>
      </c>
      <c r="Z21" s="184">
        <v>9.2399999999999996E-2</v>
      </c>
      <c r="AA21" s="187"/>
      <c r="AB21" s="186">
        <f>'Pricing Summary'!C53</f>
        <v>0.08</v>
      </c>
      <c r="AC21" s="45"/>
      <c r="AD21" s="45"/>
      <c r="AE21" s="45"/>
      <c r="AF21" s="155">
        <f t="shared" si="3"/>
        <v>0</v>
      </c>
      <c r="AG21" s="185"/>
      <c r="AH21" s="185"/>
      <c r="AI21" s="185"/>
      <c r="AJ21" s="184"/>
      <c r="AK21" s="184"/>
      <c r="AL21" s="184"/>
      <c r="AM21" s="184"/>
      <c r="AN21" s="184"/>
      <c r="AO21" s="184"/>
      <c r="AP21" s="184"/>
      <c r="AQ21" s="184"/>
      <c r="AR21" s="184"/>
      <c r="AS21" s="184"/>
      <c r="AT21" s="151"/>
    </row>
    <row r="22" spans="4:53" hidden="1">
      <c r="E22" s="91"/>
      <c r="F22" s="45"/>
      <c r="G22" s="45"/>
      <c r="H22" s="45"/>
      <c r="I22" s="164"/>
      <c r="J22" s="174" t="str">
        <f t="shared" si="5"/>
        <v>IS</v>
      </c>
      <c r="K22" s="173" t="str">
        <f>K21</f>
        <v>Contr/Govt</v>
      </c>
      <c r="L22" s="183" t="s">
        <v>146</v>
      </c>
      <c r="M22" s="182">
        <v>0</v>
      </c>
      <c r="N22" s="181">
        <f>N21</f>
        <v>1</v>
      </c>
      <c r="O22" s="180">
        <v>0</v>
      </c>
      <c r="P22" s="180">
        <v>0</v>
      </c>
      <c r="Q22" s="176"/>
      <c r="R22" s="175">
        <v>2.9899999999999999E-2</v>
      </c>
      <c r="S22" s="175"/>
      <c r="T22" s="175"/>
      <c r="U22" s="180">
        <v>0</v>
      </c>
      <c r="V22" s="180">
        <v>0</v>
      </c>
      <c r="W22" s="180">
        <v>0</v>
      </c>
      <c r="X22" s="180">
        <v>0</v>
      </c>
      <c r="Y22" s="180">
        <v>0</v>
      </c>
      <c r="Z22" s="175">
        <v>9.2399999999999996E-2</v>
      </c>
      <c r="AA22" s="179"/>
      <c r="AB22" s="178">
        <f>AB21</f>
        <v>0.08</v>
      </c>
      <c r="AC22" s="45"/>
      <c r="AD22" s="45"/>
      <c r="AE22" s="45"/>
      <c r="AF22" s="155">
        <f t="shared" si="3"/>
        <v>0</v>
      </c>
      <c r="AG22" s="177"/>
      <c r="AH22" s="177"/>
      <c r="AI22" s="177"/>
      <c r="AJ22" s="176"/>
      <c r="AK22" s="175"/>
      <c r="AL22" s="175"/>
      <c r="AM22" s="175"/>
      <c r="AN22" s="175"/>
      <c r="AO22" s="175"/>
      <c r="AP22" s="175"/>
      <c r="AQ22" s="175"/>
      <c r="AR22" s="175"/>
      <c r="AS22" s="175"/>
      <c r="AT22" s="151"/>
    </row>
    <row r="23" spans="4:53" hidden="1">
      <c r="E23" s="91"/>
      <c r="F23" s="45"/>
      <c r="G23" s="45"/>
      <c r="H23" s="45"/>
      <c r="I23" s="164"/>
      <c r="J23" s="174" t="str">
        <f t="shared" si="5"/>
        <v>IS</v>
      </c>
      <c r="K23" s="173" t="str">
        <f>K22</f>
        <v>Contr/Govt</v>
      </c>
      <c r="L23" s="172" t="s">
        <v>145</v>
      </c>
      <c r="M23" s="171">
        <v>0</v>
      </c>
      <c r="N23" s="170">
        <v>1</v>
      </c>
      <c r="O23" s="169">
        <v>0</v>
      </c>
      <c r="P23" s="169">
        <v>0</v>
      </c>
      <c r="Q23" s="165"/>
      <c r="R23" s="165">
        <v>2.9899999999999999E-2</v>
      </c>
      <c r="S23" s="165"/>
      <c r="T23" s="165"/>
      <c r="U23" s="169">
        <v>0</v>
      </c>
      <c r="V23" s="169">
        <v>0</v>
      </c>
      <c r="W23" s="169">
        <v>0</v>
      </c>
      <c r="X23" s="169">
        <v>0</v>
      </c>
      <c r="Y23" s="169">
        <v>0</v>
      </c>
      <c r="Z23" s="165">
        <v>9.2399999999999996E-2</v>
      </c>
      <c r="AA23" s="168"/>
      <c r="AB23" s="167">
        <v>0</v>
      </c>
      <c r="AC23" s="45"/>
      <c r="AD23" s="45"/>
      <c r="AE23" s="45"/>
      <c r="AF23" s="155">
        <f t="shared" si="3"/>
        <v>0</v>
      </c>
      <c r="AG23" s="166"/>
      <c r="AH23" s="166"/>
      <c r="AI23" s="166"/>
      <c r="AJ23" s="165"/>
      <c r="AK23" s="165"/>
      <c r="AL23" s="165"/>
      <c r="AM23" s="165"/>
      <c r="AN23" s="165"/>
      <c r="AO23" s="165"/>
      <c r="AP23" s="165"/>
      <c r="AQ23" s="165"/>
      <c r="AR23" s="165"/>
      <c r="AS23" s="165"/>
      <c r="AT23" s="151"/>
    </row>
    <row r="24" spans="4:53">
      <c r="E24" s="91"/>
      <c r="F24" s="45"/>
      <c r="G24" s="45"/>
      <c r="H24" s="45"/>
      <c r="I24" s="164"/>
      <c r="J24" s="163" t="str">
        <f t="shared" si="5"/>
        <v>IS</v>
      </c>
      <c r="K24" s="162" t="str">
        <f>K23</f>
        <v>Contr/Govt</v>
      </c>
      <c r="L24" s="161" t="s">
        <v>110</v>
      </c>
      <c r="M24" s="160">
        <v>0</v>
      </c>
      <c r="N24" s="159">
        <v>1</v>
      </c>
      <c r="O24" s="158">
        <v>0</v>
      </c>
      <c r="P24" s="158">
        <v>0</v>
      </c>
      <c r="Q24" s="153"/>
      <c r="R24" s="152">
        <f>IF(OR($J$24="MBI - FT",$J$24="MBI - PT"),R23,0)</f>
        <v>0</v>
      </c>
      <c r="S24" s="152"/>
      <c r="T24" s="152"/>
      <c r="U24" s="158">
        <v>0</v>
      </c>
      <c r="V24" s="158">
        <v>0</v>
      </c>
      <c r="W24" s="158">
        <v>0</v>
      </c>
      <c r="X24" s="158">
        <v>0</v>
      </c>
      <c r="Y24" s="158">
        <v>0</v>
      </c>
      <c r="Z24" s="152">
        <v>9.2399999999999996E-2</v>
      </c>
      <c r="AA24" s="157"/>
      <c r="AB24" s="156">
        <f>'Pricing Summary'!C54</f>
        <v>0.08</v>
      </c>
      <c r="AC24" s="45"/>
      <c r="AD24" s="45"/>
      <c r="AE24" s="45"/>
      <c r="AF24" s="155">
        <f t="shared" si="3"/>
        <v>0</v>
      </c>
      <c r="AG24" s="154"/>
      <c r="AH24" s="154"/>
      <c r="AI24" s="154"/>
      <c r="AJ24" s="153"/>
      <c r="AK24" s="152"/>
      <c r="AL24" s="152"/>
      <c r="AM24" s="152"/>
      <c r="AN24" s="152"/>
      <c r="AO24" s="152"/>
      <c r="AP24" s="152"/>
      <c r="AQ24" s="152"/>
      <c r="AR24" s="152"/>
      <c r="AS24" s="152"/>
      <c r="AT24" s="151"/>
    </row>
    <row r="25" spans="4:53">
      <c r="E25" s="91"/>
      <c r="F25" s="45"/>
      <c r="G25" s="45"/>
      <c r="H25" s="45"/>
      <c r="I25" s="45"/>
      <c r="J25" s="85"/>
      <c r="K25" s="85"/>
      <c r="L25" s="85"/>
      <c r="M25" s="85"/>
      <c r="N25" s="85"/>
      <c r="O25" s="85"/>
      <c r="P25" s="85"/>
      <c r="Q25" s="85"/>
      <c r="R25" s="85"/>
      <c r="S25" s="85"/>
      <c r="T25" s="85"/>
      <c r="U25" s="85"/>
      <c r="V25" s="85"/>
      <c r="W25" s="85"/>
      <c r="X25" s="85"/>
      <c r="Y25" s="85"/>
      <c r="Z25" s="85"/>
      <c r="AA25" s="85"/>
      <c r="AB25" s="85"/>
      <c r="AC25" s="45"/>
      <c r="AD25" s="45"/>
      <c r="AE25" s="45"/>
      <c r="AF25" s="90" t="s">
        <v>144</v>
      </c>
      <c r="AG25" s="45"/>
      <c r="AH25" s="45"/>
      <c r="AI25" s="45"/>
      <c r="AJ25" s="45"/>
      <c r="AK25" s="45"/>
      <c r="AL25" s="45"/>
      <c r="AM25" s="45"/>
      <c r="AN25" s="45"/>
      <c r="AO25" s="45"/>
      <c r="AP25" s="45"/>
      <c r="AQ25" s="45"/>
      <c r="AR25" s="45"/>
      <c r="AS25" s="45"/>
      <c r="AT25" s="45"/>
      <c r="AZ25" s="145"/>
      <c r="BA25" s="145"/>
    </row>
    <row r="26" spans="4:53" hidden="1" outlineLevel="1">
      <c r="E26" s="91"/>
      <c r="F26" s="45"/>
      <c r="G26" s="45"/>
      <c r="H26" s="45"/>
      <c r="I26" s="45"/>
      <c r="J26" s="45"/>
      <c r="K26" s="45"/>
      <c r="L26" s="45"/>
      <c r="M26" s="150"/>
      <c r="N26" s="149" t="str">
        <f>M$28&amp;"*"&amp;N$5</f>
        <v>A*B%</v>
      </c>
      <c r="O26" s="149"/>
      <c r="P26" s="149"/>
      <c r="Q26" s="149" t="str">
        <f>N$28&amp;"*"&amp;Q$5</f>
        <v>B*C%</v>
      </c>
      <c r="R26" s="149" t="str">
        <f>"("&amp;N28&amp;"+"&amp;Q$28&amp;")"&amp;"*"&amp;R$5</f>
        <v>(B+C)*D%</v>
      </c>
      <c r="S26" s="149"/>
      <c r="T26" s="149"/>
      <c r="U26" s="149"/>
      <c r="V26" s="149"/>
      <c r="W26" s="149"/>
      <c r="X26" s="149"/>
      <c r="Y26" s="149"/>
      <c r="Z26" s="149" t="str">
        <f>"("&amp;N28&amp;"+"&amp;Q28&amp;"+"&amp;R$28&amp;")"&amp;"*"&amp;Z$5</f>
        <v>(B+C+D)*E%</v>
      </c>
      <c r="AA26" s="149" t="s">
        <v>143</v>
      </c>
      <c r="AB26" s="149" t="str">
        <f>"("&amp;N28&amp;"+"&amp;Q28&amp;"+"&amp;R$28&amp;"+"&amp;Z$28&amp;")"&amp;"*"&amp;AB$5</f>
        <v>(B+C+D+E)*G%</v>
      </c>
      <c r="AC26" s="45"/>
      <c r="AD26" s="45"/>
      <c r="AE26" s="45"/>
      <c r="AF26" s="90"/>
    </row>
    <row r="27" spans="4:53" ht="8.25" hidden="1" customHeight="1" outlineLevel="1">
      <c r="E27" s="91"/>
      <c r="F27" s="45"/>
      <c r="G27" s="45"/>
      <c r="H27" s="45"/>
      <c r="I27" s="45"/>
      <c r="J27" s="45"/>
      <c r="K27" s="45"/>
      <c r="L27" s="45"/>
      <c r="M27" s="148"/>
      <c r="N27" s="147"/>
      <c r="O27" s="147"/>
      <c r="P27" s="147"/>
      <c r="Q27" s="147"/>
      <c r="R27" s="147"/>
      <c r="S27" s="147"/>
      <c r="T27" s="147"/>
      <c r="U27" s="147"/>
      <c r="V27" s="147"/>
      <c r="W27" s="147"/>
      <c r="X27" s="147"/>
      <c r="Y27" s="147"/>
      <c r="Z27" s="147"/>
      <c r="AA27" s="147"/>
      <c r="AB27" s="147"/>
      <c r="AC27" s="45"/>
      <c r="AD27" s="45"/>
      <c r="AE27" s="45"/>
      <c r="AF27" s="90"/>
    </row>
    <row r="28" spans="4:53" hidden="1" outlineLevel="1">
      <c r="E28" s="91"/>
      <c r="F28" s="45"/>
      <c r="G28" s="45"/>
      <c r="H28" s="45"/>
      <c r="I28" s="45"/>
      <c r="J28" s="45"/>
      <c r="K28" s="45"/>
      <c r="L28" s="45"/>
      <c r="M28" s="146" t="s">
        <v>142</v>
      </c>
      <c r="N28" s="146" t="s">
        <v>141</v>
      </c>
      <c r="O28" s="146"/>
      <c r="P28" s="146"/>
      <c r="Q28" s="146" t="s">
        <v>140</v>
      </c>
      <c r="R28" s="146" t="s">
        <v>139</v>
      </c>
      <c r="S28" s="146"/>
      <c r="T28" s="146"/>
      <c r="U28" s="146"/>
      <c r="V28" s="146"/>
      <c r="W28" s="146"/>
      <c r="X28" s="146"/>
      <c r="Y28" s="146"/>
      <c r="Z28" s="146" t="s">
        <v>138</v>
      </c>
      <c r="AA28" s="146" t="s">
        <v>137</v>
      </c>
      <c r="AB28" s="146" t="s">
        <v>136</v>
      </c>
      <c r="AC28" s="45"/>
      <c r="AD28" s="45"/>
      <c r="AE28" s="45"/>
      <c r="AF28" s="90"/>
    </row>
    <row r="29" spans="4:53" collapsed="1">
      <c r="E29" s="91"/>
      <c r="F29" s="45"/>
      <c r="G29" s="45"/>
      <c r="H29" s="45"/>
      <c r="I29" s="45"/>
      <c r="J29" s="45"/>
      <c r="K29" s="45"/>
      <c r="L29" s="45"/>
      <c r="M29" s="45"/>
      <c r="N29" s="45"/>
      <c r="O29" s="45"/>
      <c r="P29" s="45"/>
      <c r="Q29" s="45"/>
      <c r="R29" s="45"/>
      <c r="S29" s="45"/>
      <c r="T29" s="45"/>
      <c r="U29" s="45"/>
      <c r="V29" s="45"/>
      <c r="W29" s="45"/>
      <c r="X29" s="45"/>
      <c r="Y29" s="45"/>
      <c r="Z29" s="45"/>
      <c r="AA29" s="97"/>
      <c r="AB29" s="45"/>
      <c r="AC29" s="45"/>
      <c r="AD29" s="45"/>
      <c r="AE29" s="45"/>
      <c r="AF29" s="90">
        <v>8</v>
      </c>
      <c r="AT29" s="140"/>
      <c r="AU29" s="139"/>
      <c r="AV29" s="140"/>
      <c r="AW29" s="139"/>
      <c r="AZ29" s="145" t="s">
        <v>135</v>
      </c>
      <c r="BA29" s="145" t="s">
        <v>134</v>
      </c>
    </row>
    <row r="30" spans="4:53" ht="13.5" thickBot="1">
      <c r="E30" s="144" t="s">
        <v>133</v>
      </c>
      <c r="F30" s="142"/>
      <c r="G30" s="142" t="s">
        <v>106</v>
      </c>
      <c r="H30" s="45"/>
      <c r="I30" s="142" t="s">
        <v>132</v>
      </c>
      <c r="J30" s="143" t="s">
        <v>131</v>
      </c>
      <c r="K30" s="143" t="s">
        <v>131</v>
      </c>
      <c r="L30" s="142" t="str">
        <f>L8</f>
        <v>Burden Code</v>
      </c>
      <c r="M30" s="139" t="s">
        <v>130</v>
      </c>
      <c r="N30" s="139" t="s">
        <v>129</v>
      </c>
      <c r="O30" s="139" t="str">
        <f>O8</f>
        <v>Hazard</v>
      </c>
      <c r="P30" s="139" t="str">
        <f>P8</f>
        <v>Harship</v>
      </c>
      <c r="Q30" s="139" t="str">
        <f>Q8</f>
        <v>PRB</v>
      </c>
      <c r="R30" s="139" t="str">
        <f>R8</f>
        <v>Overhead</v>
      </c>
      <c r="S30" s="139"/>
      <c r="T30" s="139"/>
      <c r="U30" s="139" t="str">
        <f t="shared" ref="U30:AB30" si="6">U8</f>
        <v>Finders Fee</v>
      </c>
      <c r="V30" s="139" t="str">
        <f t="shared" si="6"/>
        <v>Per Diem</v>
      </c>
      <c r="W30" s="139" t="str">
        <f t="shared" si="6"/>
        <v>War Risk Ins.</v>
      </c>
      <c r="X30" s="139" t="str">
        <f t="shared" si="6"/>
        <v>DBA Ins.</v>
      </c>
      <c r="Y30" s="139" t="str">
        <f t="shared" si="6"/>
        <v>Travel</v>
      </c>
      <c r="Z30" s="139" t="str">
        <f t="shared" si="6"/>
        <v>G&amp;A</v>
      </c>
      <c r="AA30" s="139" t="str">
        <f t="shared" si="6"/>
        <v>Cost</v>
      </c>
      <c r="AB30" s="139" t="str">
        <f t="shared" si="6"/>
        <v>Profit / Fee</v>
      </c>
      <c r="AC30" s="139" t="s">
        <v>186</v>
      </c>
      <c r="AD30" s="139" t="s">
        <v>127</v>
      </c>
      <c r="AE30" s="139" t="s">
        <v>100</v>
      </c>
      <c r="AF30" s="141" t="s">
        <v>126</v>
      </c>
      <c r="AG30" s="140"/>
      <c r="AH30" s="140"/>
      <c r="AI30" s="140"/>
      <c r="AJ30" s="140"/>
      <c r="AK30" s="140"/>
      <c r="AL30" s="140"/>
      <c r="AM30" s="140"/>
      <c r="AN30" s="140"/>
      <c r="AO30" s="140"/>
      <c r="AP30" s="140"/>
      <c r="AQ30" s="140"/>
      <c r="AR30" s="140"/>
      <c r="AS30" s="140"/>
      <c r="AT30" s="140"/>
      <c r="AU30" s="139"/>
      <c r="AV30" s="140"/>
      <c r="AW30" s="139"/>
      <c r="AZ30" s="46">
        <v>1</v>
      </c>
      <c r="BA30" s="46">
        <v>1</v>
      </c>
    </row>
    <row r="31" spans="4:53" s="114" customFormat="1" ht="16.5" thickBot="1">
      <c r="E31" s="122" t="s">
        <v>125</v>
      </c>
      <c r="F31" s="119"/>
      <c r="G31" s="119"/>
      <c r="H31" s="121"/>
      <c r="I31" s="119"/>
      <c r="J31" s="120"/>
      <c r="K31" s="120"/>
      <c r="L31" s="119"/>
      <c r="M31" s="118"/>
      <c r="N31" s="118"/>
      <c r="O31" s="118"/>
      <c r="P31" s="118"/>
      <c r="Q31" s="118"/>
      <c r="R31" s="118"/>
      <c r="S31" s="118"/>
      <c r="T31" s="118"/>
      <c r="U31" s="118"/>
      <c r="V31" s="118"/>
      <c r="W31" s="118"/>
      <c r="X31" s="118"/>
      <c r="Y31" s="118"/>
      <c r="Z31" s="118"/>
      <c r="AA31" s="118"/>
      <c r="AB31" s="118"/>
      <c r="AC31" s="118"/>
      <c r="AD31" s="118"/>
      <c r="AE31" s="118"/>
      <c r="AF31" s="138"/>
      <c r="AG31" s="116"/>
      <c r="AH31" s="116"/>
      <c r="AI31" s="116" t="s">
        <v>124</v>
      </c>
      <c r="AJ31" s="116" t="s">
        <v>123</v>
      </c>
      <c r="AK31" s="116" t="s">
        <v>122</v>
      </c>
      <c r="AL31" s="116"/>
      <c r="AM31" s="116"/>
      <c r="AN31" s="116"/>
      <c r="AO31" s="116"/>
      <c r="AP31" s="116"/>
      <c r="AQ31" s="116"/>
      <c r="AR31" s="116"/>
      <c r="AS31" s="116"/>
      <c r="AT31" s="116"/>
      <c r="AU31" s="116"/>
      <c r="AV31" s="116"/>
      <c r="AW31" s="115"/>
      <c r="AZ31" s="46">
        <v>1</v>
      </c>
      <c r="BA31" s="46">
        <v>1</v>
      </c>
    </row>
    <row r="32" spans="4:53">
      <c r="D32" s="45">
        <v>1</v>
      </c>
      <c r="E32" s="137" t="s">
        <v>230</v>
      </c>
      <c r="F32" s="45"/>
      <c r="G32" s="105" t="s">
        <v>99</v>
      </c>
      <c r="H32" s="45"/>
      <c r="I32" s="136">
        <v>0</v>
      </c>
      <c r="J32" s="135" t="str">
        <f t="shared" ref="J32:J46" si="7">G32&amp;D32&amp;I32&amp;L32</f>
        <v>ManTech10Govt</v>
      </c>
      <c r="K32" s="135"/>
      <c r="L32" s="105" t="s">
        <v>120</v>
      </c>
      <c r="M32" s="127">
        <v>29</v>
      </c>
      <c r="N32" s="127">
        <f t="shared" ref="N32:N46" ca="1" si="8">ROUND($M32*(VLOOKUP($L32,$L$9:$AB$24,N$6,FALSE)),2)</f>
        <v>30.55</v>
      </c>
      <c r="O32" s="127">
        <f t="shared" ref="O32:P46" ca="1" si="9">$N32*(VLOOKUP($L32,$L$9:$AB$24,O$6,FALSE))</f>
        <v>0</v>
      </c>
      <c r="P32" s="127">
        <f t="shared" ca="1" si="9"/>
        <v>0</v>
      </c>
      <c r="Q32" s="127">
        <f t="shared" ref="Q32:Q46" ca="1" si="10">($N32+O32+P32)*(VLOOKUP($L32,$L$9:$AB$24,Q$6,FALSE))</f>
        <v>9.5438200000000002</v>
      </c>
      <c r="R32" s="127">
        <f t="shared" ref="R32:R46" ca="1" si="11">($N32+$Q32+O32+P32)*(VLOOKUP($L32,$L$9:$AB$24,R$6,FALSE))</f>
        <v>0.89409218600000007</v>
      </c>
      <c r="S32" s="127">
        <f t="shared" ref="S32:S37" si="12">$S$10/AD32</f>
        <v>0</v>
      </c>
      <c r="T32" s="127">
        <f t="shared" ref="T32:T37" si="13">$T$10/AD32</f>
        <v>0</v>
      </c>
      <c r="U32" s="127">
        <f t="shared" ref="U32:U37" si="14">(M32*AD32)*$U$10</f>
        <v>0</v>
      </c>
      <c r="V32" s="127">
        <f t="shared" ref="V32:V37" si="15">($V$10/$AF$29)</f>
        <v>30.25</v>
      </c>
      <c r="W32" s="127">
        <f t="shared" ref="W32:W37" si="16">$W$10/AD32</f>
        <v>0</v>
      </c>
      <c r="X32" s="127">
        <f t="shared" ref="X32:X37" ca="1" si="17">N32*$X$10</f>
        <v>0.58045000000000002</v>
      </c>
      <c r="Y32" s="127">
        <f t="shared" ref="Y32:Y37" si="18">$Y$10/AD32</f>
        <v>0</v>
      </c>
      <c r="Z32" s="127">
        <f ca="1">IF($G32="ManTech",(SUM($N32:$Y32)*(VLOOKUP($L32,$L$9:$AB$24,Z$6,FALSE))),(IF(R32=0,((SUM(N32,#REF!))*(VLOOKUP($L32,$L$9:$AB$24,Z$6,FALSE))),(SUM($R32:$R32)*(VLOOKUP($L32,$L$9:$AB$24,Z$6,FALSE))))))</f>
        <v>6.6360166659863999</v>
      </c>
      <c r="AA32" s="127">
        <f t="shared" ref="AA32:AA46" ca="1" si="19">SUM(N32:Z32)</f>
        <v>78.454378851986405</v>
      </c>
      <c r="AB32" s="127">
        <f t="shared" ref="AB32:AB46" ca="1" si="20">(AA32*(VLOOKUP($L32,$L$9:$AB$24,AB$6,FALSE)))</f>
        <v>6.2763503081589125</v>
      </c>
      <c r="AC32" s="127">
        <f t="shared" ref="AC32:AC46" ca="1" si="21">ROUND(SUM(AA32:AB32),2)</f>
        <v>84.73</v>
      </c>
      <c r="AD32" s="104">
        <f t="shared" ref="AD32:AD37" si="22">8*6</f>
        <v>48</v>
      </c>
      <c r="AE32" s="92">
        <f t="shared" ref="AE32:AE46" ca="1" si="23">$AC32*$AD32</f>
        <v>4067.04</v>
      </c>
      <c r="AF32" s="134">
        <f t="shared" ref="AF32:AF37" ca="1" si="24">AC32*$AF$29</f>
        <v>677.84</v>
      </c>
      <c r="AG32" s="78"/>
      <c r="AH32" s="78"/>
      <c r="AI32" s="78">
        <f t="shared" ref="AI32:AI46" ca="1" si="25">AA32*AD32</f>
        <v>3765.8101848953474</v>
      </c>
      <c r="AJ32" s="78">
        <f t="shared" ref="AJ32:AJ46" ca="1" si="26">AC32*AD32</f>
        <v>4067.04</v>
      </c>
      <c r="AK32" s="78">
        <f t="shared" ref="AK32:AK46" ca="1" si="27">AJ32-AI32</f>
        <v>301.22981510465252</v>
      </c>
      <c r="AL32" s="94">
        <f t="shared" ref="AL32:AL46" ca="1" si="28">IF(AK32=0,0,ROUND(AK32/AI32,2))</f>
        <v>0.08</v>
      </c>
      <c r="AM32" s="78"/>
      <c r="AN32" s="78"/>
      <c r="AO32" s="78"/>
      <c r="AP32" s="78"/>
      <c r="AQ32" s="78"/>
      <c r="AR32" s="78"/>
      <c r="AS32" s="78"/>
      <c r="AT32" s="78"/>
      <c r="AU32" s="53"/>
      <c r="AV32" s="52"/>
      <c r="AW32" s="51"/>
      <c r="AZ32" s="46" t="str">
        <f t="shared" ref="AZ32:AZ46" ca="1" si="29">IF((OR((AC32=""),(AC32&gt;0))),"1","0")</f>
        <v>1</v>
      </c>
      <c r="BA32" s="46" t="str">
        <f t="shared" ref="BA32:BA46" ca="1" si="30">IF((OR((AE32=""),(AE32&gt;0))),"1","0")</f>
        <v>1</v>
      </c>
    </row>
    <row r="33" spans="4:53">
      <c r="D33" s="45">
        <f t="shared" ref="D33:D46" si="31">D32+1</f>
        <v>2</v>
      </c>
      <c r="E33" s="137" t="s">
        <v>63</v>
      </c>
      <c r="F33" s="45"/>
      <c r="G33" s="105" t="s">
        <v>99</v>
      </c>
      <c r="H33" s="45"/>
      <c r="I33" s="136">
        <v>0</v>
      </c>
      <c r="J33" s="135" t="str">
        <f t="shared" si="7"/>
        <v>ManTech20Govt</v>
      </c>
      <c r="K33" s="135"/>
      <c r="L33" s="105" t="s">
        <v>120</v>
      </c>
      <c r="M33" s="127">
        <v>33.81</v>
      </c>
      <c r="N33" s="127">
        <f t="shared" ca="1" si="8"/>
        <v>35.619999999999997</v>
      </c>
      <c r="O33" s="127">
        <f t="shared" ca="1" si="9"/>
        <v>0</v>
      </c>
      <c r="P33" s="127">
        <f t="shared" ca="1" si="9"/>
        <v>0</v>
      </c>
      <c r="Q33" s="127">
        <f t="shared" ca="1" si="10"/>
        <v>11.127687999999999</v>
      </c>
      <c r="R33" s="127">
        <f t="shared" ca="1" si="11"/>
        <v>1.0424734423999999</v>
      </c>
      <c r="S33" s="127">
        <f t="shared" si="12"/>
        <v>0</v>
      </c>
      <c r="T33" s="127">
        <f t="shared" si="13"/>
        <v>0</v>
      </c>
      <c r="U33" s="127">
        <f t="shared" si="14"/>
        <v>0</v>
      </c>
      <c r="V33" s="127">
        <f t="shared" si="15"/>
        <v>30.25</v>
      </c>
      <c r="W33" s="127">
        <f t="shared" si="16"/>
        <v>0</v>
      </c>
      <c r="X33" s="127">
        <f t="shared" ca="1" si="17"/>
        <v>0.67677999999999994</v>
      </c>
      <c r="Y33" s="127">
        <f t="shared" si="18"/>
        <v>0</v>
      </c>
      <c r="Z33" s="127">
        <f ca="1">IF($G33="ManTech",(SUM($N33:$Y33)*(VLOOKUP($L33,$L$9:$AB$24,Z$6,FALSE))),(IF(R33=0,((SUM(N33,#REF!))*(VLOOKUP($L33,$L$9:$AB$24,Z$6,FALSE))),(SUM($R33:$R33)*(VLOOKUP($L33,$L$9:$AB$24,Z$6,FALSE))))))</f>
        <v>7.27344538927776</v>
      </c>
      <c r="AA33" s="127">
        <f t="shared" ca="1" si="19"/>
        <v>85.990386831677753</v>
      </c>
      <c r="AB33" s="127">
        <f t="shared" ca="1" si="20"/>
        <v>6.8792309465342205</v>
      </c>
      <c r="AC33" s="127">
        <f t="shared" ca="1" si="21"/>
        <v>92.87</v>
      </c>
      <c r="AD33" s="104">
        <f t="shared" si="22"/>
        <v>48</v>
      </c>
      <c r="AE33" s="92">
        <f t="shared" ca="1" si="23"/>
        <v>4457.76</v>
      </c>
      <c r="AF33" s="134">
        <f t="shared" ca="1" si="24"/>
        <v>742.96</v>
      </c>
      <c r="AG33" s="78"/>
      <c r="AH33" s="78"/>
      <c r="AI33" s="78">
        <f t="shared" ca="1" si="25"/>
        <v>4127.5385679205319</v>
      </c>
      <c r="AJ33" s="78">
        <f t="shared" ca="1" si="26"/>
        <v>4457.76</v>
      </c>
      <c r="AK33" s="78">
        <f t="shared" ca="1" si="27"/>
        <v>330.22143207946829</v>
      </c>
      <c r="AL33" s="94">
        <f t="shared" ca="1" si="28"/>
        <v>0.08</v>
      </c>
      <c r="AM33" s="78"/>
      <c r="AN33" s="78"/>
      <c r="AO33" s="78"/>
      <c r="AP33" s="78"/>
      <c r="AQ33" s="78"/>
      <c r="AR33" s="78"/>
      <c r="AS33" s="78"/>
      <c r="AT33" s="78"/>
      <c r="AU33" s="53"/>
      <c r="AV33" s="52"/>
      <c r="AW33" s="51"/>
      <c r="AZ33" s="46" t="str">
        <f t="shared" ca="1" si="29"/>
        <v>1</v>
      </c>
      <c r="BA33" s="46" t="str">
        <f t="shared" ca="1" si="30"/>
        <v>1</v>
      </c>
    </row>
    <row r="34" spans="4:53">
      <c r="D34" s="45">
        <f t="shared" si="31"/>
        <v>3</v>
      </c>
      <c r="E34" s="137" t="s">
        <v>63</v>
      </c>
      <c r="F34" s="45"/>
      <c r="G34" s="105" t="s">
        <v>99</v>
      </c>
      <c r="H34" s="45"/>
      <c r="I34" s="136">
        <v>0</v>
      </c>
      <c r="J34" s="135" t="str">
        <f t="shared" si="7"/>
        <v>ManTech30Govt</v>
      </c>
      <c r="K34" s="135"/>
      <c r="L34" s="105" t="s">
        <v>120</v>
      </c>
      <c r="M34" s="127">
        <v>33.81</v>
      </c>
      <c r="N34" s="127">
        <f t="shared" ca="1" si="8"/>
        <v>35.619999999999997</v>
      </c>
      <c r="O34" s="127">
        <f t="shared" ca="1" si="9"/>
        <v>0</v>
      </c>
      <c r="P34" s="127">
        <f t="shared" ca="1" si="9"/>
        <v>0</v>
      </c>
      <c r="Q34" s="127">
        <f t="shared" ca="1" si="10"/>
        <v>11.127687999999999</v>
      </c>
      <c r="R34" s="127">
        <f t="shared" ca="1" si="11"/>
        <v>1.0424734423999999</v>
      </c>
      <c r="S34" s="127">
        <f t="shared" si="12"/>
        <v>0</v>
      </c>
      <c r="T34" s="127">
        <f t="shared" si="13"/>
        <v>0</v>
      </c>
      <c r="U34" s="127">
        <f t="shared" si="14"/>
        <v>0</v>
      </c>
      <c r="V34" s="127">
        <f t="shared" si="15"/>
        <v>30.25</v>
      </c>
      <c r="W34" s="127">
        <f t="shared" si="16"/>
        <v>0</v>
      </c>
      <c r="X34" s="127">
        <f t="shared" ca="1" si="17"/>
        <v>0.67677999999999994</v>
      </c>
      <c r="Y34" s="127">
        <f t="shared" si="18"/>
        <v>0</v>
      </c>
      <c r="Z34" s="127">
        <f ca="1">IF($G34="ManTech",(SUM($N34:$Y34)*(VLOOKUP($L34,$L$9:$AB$24,Z$6,FALSE))),(IF(R34=0,((SUM(N34,#REF!))*(VLOOKUP($L34,$L$9:$AB$24,Z$6,FALSE))),(SUM($R34:$R34)*(VLOOKUP($L34,$L$9:$AB$24,Z$6,FALSE))))))</f>
        <v>7.27344538927776</v>
      </c>
      <c r="AA34" s="127">
        <f t="shared" ca="1" si="19"/>
        <v>85.990386831677753</v>
      </c>
      <c r="AB34" s="127">
        <f t="shared" ca="1" si="20"/>
        <v>6.8792309465342205</v>
      </c>
      <c r="AC34" s="127">
        <f t="shared" ca="1" si="21"/>
        <v>92.87</v>
      </c>
      <c r="AD34" s="104">
        <f t="shared" si="22"/>
        <v>48</v>
      </c>
      <c r="AE34" s="92">
        <f t="shared" ca="1" si="23"/>
        <v>4457.76</v>
      </c>
      <c r="AF34" s="134">
        <f t="shared" ca="1" si="24"/>
        <v>742.96</v>
      </c>
      <c r="AG34" s="78"/>
      <c r="AH34" s="78"/>
      <c r="AI34" s="78">
        <f t="shared" ca="1" si="25"/>
        <v>4127.5385679205319</v>
      </c>
      <c r="AJ34" s="78">
        <f t="shared" ca="1" si="26"/>
        <v>4457.76</v>
      </c>
      <c r="AK34" s="78">
        <f t="shared" ca="1" si="27"/>
        <v>330.22143207946829</v>
      </c>
      <c r="AL34" s="94">
        <f t="shared" ca="1" si="28"/>
        <v>0.08</v>
      </c>
      <c r="AM34" s="78"/>
      <c r="AN34" s="78"/>
      <c r="AO34" s="78"/>
      <c r="AP34" s="78"/>
      <c r="AQ34" s="78"/>
      <c r="AR34" s="78"/>
      <c r="AS34" s="78"/>
      <c r="AT34" s="78"/>
      <c r="AU34" s="53"/>
      <c r="AV34" s="52"/>
      <c r="AW34" s="51"/>
      <c r="AZ34" s="46" t="str">
        <f t="shared" ca="1" si="29"/>
        <v>1</v>
      </c>
      <c r="BA34" s="46" t="str">
        <f t="shared" ca="1" si="30"/>
        <v>1</v>
      </c>
    </row>
    <row r="35" spans="4:53">
      <c r="D35" s="45">
        <f t="shared" si="31"/>
        <v>4</v>
      </c>
      <c r="E35" s="137" t="s">
        <v>63</v>
      </c>
      <c r="F35" s="45"/>
      <c r="G35" s="105" t="s">
        <v>99</v>
      </c>
      <c r="H35" s="45"/>
      <c r="I35" s="136">
        <v>0</v>
      </c>
      <c r="J35" s="135" t="str">
        <f t="shared" si="7"/>
        <v>ManTech40Govt</v>
      </c>
      <c r="K35" s="135"/>
      <c r="L35" s="105" t="s">
        <v>120</v>
      </c>
      <c r="M35" s="127">
        <v>33.81</v>
      </c>
      <c r="N35" s="127">
        <f t="shared" ca="1" si="8"/>
        <v>35.619999999999997</v>
      </c>
      <c r="O35" s="127">
        <f t="shared" ca="1" si="9"/>
        <v>0</v>
      </c>
      <c r="P35" s="127">
        <f t="shared" ca="1" si="9"/>
        <v>0</v>
      </c>
      <c r="Q35" s="127">
        <f t="shared" ca="1" si="10"/>
        <v>11.127687999999999</v>
      </c>
      <c r="R35" s="127">
        <f t="shared" ca="1" si="11"/>
        <v>1.0424734423999999</v>
      </c>
      <c r="S35" s="127">
        <f t="shared" si="12"/>
        <v>0</v>
      </c>
      <c r="T35" s="127">
        <f t="shared" si="13"/>
        <v>0</v>
      </c>
      <c r="U35" s="127">
        <f t="shared" si="14"/>
        <v>0</v>
      </c>
      <c r="V35" s="127">
        <f t="shared" si="15"/>
        <v>30.25</v>
      </c>
      <c r="W35" s="127">
        <f t="shared" si="16"/>
        <v>0</v>
      </c>
      <c r="X35" s="127">
        <f t="shared" ca="1" si="17"/>
        <v>0.67677999999999994</v>
      </c>
      <c r="Y35" s="127">
        <f t="shared" si="18"/>
        <v>0</v>
      </c>
      <c r="Z35" s="127">
        <f ca="1">IF($G35="ManTech",(SUM($N35:$Y35)*(VLOOKUP($L35,$L$9:$AB$24,Z$6,FALSE))),(IF(R35=0,((SUM(N35,#REF!))*(VLOOKUP($L35,$L$9:$AB$24,Z$6,FALSE))),(SUM($R35:$R35)*(VLOOKUP($L35,$L$9:$AB$24,Z$6,FALSE))))))</f>
        <v>7.27344538927776</v>
      </c>
      <c r="AA35" s="127">
        <f t="shared" ca="1" si="19"/>
        <v>85.990386831677753</v>
      </c>
      <c r="AB35" s="127">
        <f t="shared" ca="1" si="20"/>
        <v>6.8792309465342205</v>
      </c>
      <c r="AC35" s="127">
        <f t="shared" ca="1" si="21"/>
        <v>92.87</v>
      </c>
      <c r="AD35" s="104">
        <f t="shared" si="22"/>
        <v>48</v>
      </c>
      <c r="AE35" s="92">
        <f t="shared" ca="1" si="23"/>
        <v>4457.76</v>
      </c>
      <c r="AF35" s="134">
        <f t="shared" ca="1" si="24"/>
        <v>742.96</v>
      </c>
      <c r="AG35" s="78"/>
      <c r="AH35" s="78"/>
      <c r="AI35" s="78">
        <f t="shared" ca="1" si="25"/>
        <v>4127.5385679205319</v>
      </c>
      <c r="AJ35" s="78">
        <f t="shared" ca="1" si="26"/>
        <v>4457.76</v>
      </c>
      <c r="AK35" s="78">
        <f t="shared" ca="1" si="27"/>
        <v>330.22143207946829</v>
      </c>
      <c r="AL35" s="94">
        <f t="shared" ca="1" si="28"/>
        <v>0.08</v>
      </c>
      <c r="AM35" s="78"/>
      <c r="AN35" s="78"/>
      <c r="AO35" s="78"/>
      <c r="AP35" s="78"/>
      <c r="AQ35" s="78"/>
      <c r="AR35" s="78"/>
      <c r="AS35" s="78"/>
      <c r="AT35" s="78"/>
      <c r="AU35" s="53"/>
      <c r="AV35" s="52"/>
      <c r="AW35" s="51"/>
      <c r="AZ35" s="46" t="str">
        <f t="shared" ca="1" si="29"/>
        <v>1</v>
      </c>
      <c r="BA35" s="46" t="str">
        <f t="shared" ca="1" si="30"/>
        <v>1</v>
      </c>
    </row>
    <row r="36" spans="4:53">
      <c r="D36" s="45">
        <f t="shared" si="31"/>
        <v>5</v>
      </c>
      <c r="E36" s="137" t="s">
        <v>65</v>
      </c>
      <c r="F36" s="45"/>
      <c r="G36" s="105" t="s">
        <v>99</v>
      </c>
      <c r="H36" s="45"/>
      <c r="I36" s="136">
        <v>0</v>
      </c>
      <c r="J36" s="135" t="str">
        <f t="shared" si="7"/>
        <v>ManTech50Govt</v>
      </c>
      <c r="K36" s="135"/>
      <c r="L36" s="105" t="s">
        <v>120</v>
      </c>
      <c r="M36" s="127">
        <v>26</v>
      </c>
      <c r="N36" s="127">
        <f t="shared" ca="1" si="8"/>
        <v>27.39</v>
      </c>
      <c r="O36" s="127">
        <f t="shared" ca="1" si="9"/>
        <v>0</v>
      </c>
      <c r="P36" s="127">
        <f t="shared" ca="1" si="9"/>
        <v>0</v>
      </c>
      <c r="Q36" s="127">
        <f t="shared" ca="1" si="10"/>
        <v>8.556636000000001</v>
      </c>
      <c r="R36" s="127">
        <f t="shared" ca="1" si="11"/>
        <v>0.80160998279999995</v>
      </c>
      <c r="S36" s="127">
        <f t="shared" si="12"/>
        <v>0</v>
      </c>
      <c r="T36" s="127">
        <f t="shared" si="13"/>
        <v>0</v>
      </c>
      <c r="U36" s="127">
        <f t="shared" si="14"/>
        <v>0</v>
      </c>
      <c r="V36" s="127">
        <f t="shared" si="15"/>
        <v>30.25</v>
      </c>
      <c r="W36" s="127">
        <f t="shared" si="16"/>
        <v>0</v>
      </c>
      <c r="X36" s="127">
        <f t="shared" ca="1" si="17"/>
        <v>0.52041000000000004</v>
      </c>
      <c r="Y36" s="127">
        <f t="shared" si="18"/>
        <v>0</v>
      </c>
      <c r="Z36" s="127">
        <f ca="1">IF($G36="ManTech",(SUM($N36:$Y36)*(VLOOKUP($L36,$L$9:$AB$24,Z$6,FALSE))),(IF(R36=0,((SUM(N36,#REF!))*(VLOOKUP($L36,$L$9:$AB$24,Z$6,FALSE))),(SUM($R36:$R36)*(VLOOKUP($L36,$L$9:$AB$24,Z$6,FALSE))))))</f>
        <v>6.2387238128107194</v>
      </c>
      <c r="AA36" s="127">
        <f t="shared" ca="1" si="19"/>
        <v>73.757379795610717</v>
      </c>
      <c r="AB36" s="127">
        <f t="shared" ca="1" si="20"/>
        <v>5.9005903836488578</v>
      </c>
      <c r="AC36" s="127">
        <f t="shared" ca="1" si="21"/>
        <v>79.66</v>
      </c>
      <c r="AD36" s="104">
        <f t="shared" si="22"/>
        <v>48</v>
      </c>
      <c r="AE36" s="92">
        <f t="shared" ca="1" si="23"/>
        <v>3823.68</v>
      </c>
      <c r="AF36" s="134">
        <f t="shared" ca="1" si="24"/>
        <v>637.28</v>
      </c>
      <c r="AG36" s="78"/>
      <c r="AH36" s="78"/>
      <c r="AI36" s="78">
        <f t="shared" ca="1" si="25"/>
        <v>3540.3542301893144</v>
      </c>
      <c r="AJ36" s="78">
        <f t="shared" ca="1" si="26"/>
        <v>3823.68</v>
      </c>
      <c r="AK36" s="78">
        <f t="shared" ca="1" si="27"/>
        <v>283.32576981068541</v>
      </c>
      <c r="AL36" s="94">
        <f t="shared" ca="1" si="28"/>
        <v>0.08</v>
      </c>
      <c r="AM36" s="78"/>
      <c r="AN36" s="78"/>
      <c r="AO36" s="78"/>
      <c r="AP36" s="78"/>
      <c r="AQ36" s="78"/>
      <c r="AR36" s="78"/>
      <c r="AS36" s="78"/>
      <c r="AT36" s="78"/>
      <c r="AU36" s="53"/>
      <c r="AV36" s="52"/>
      <c r="AW36" s="51"/>
      <c r="AZ36" s="46" t="str">
        <f t="shared" ca="1" si="29"/>
        <v>1</v>
      </c>
      <c r="BA36" s="46" t="str">
        <f t="shared" ca="1" si="30"/>
        <v>1</v>
      </c>
    </row>
    <row r="37" spans="4:53">
      <c r="D37" s="45">
        <f t="shared" si="31"/>
        <v>6</v>
      </c>
      <c r="E37" s="137" t="s">
        <v>65</v>
      </c>
      <c r="F37" s="45"/>
      <c r="G37" s="105" t="s">
        <v>99</v>
      </c>
      <c r="H37" s="45"/>
      <c r="I37" s="136">
        <v>0</v>
      </c>
      <c r="J37" s="135" t="str">
        <f t="shared" si="7"/>
        <v>ManTech60Govt</v>
      </c>
      <c r="K37" s="135"/>
      <c r="L37" s="105" t="s">
        <v>120</v>
      </c>
      <c r="M37" s="127">
        <v>26</v>
      </c>
      <c r="N37" s="127">
        <f t="shared" ca="1" si="8"/>
        <v>27.39</v>
      </c>
      <c r="O37" s="127">
        <f t="shared" ca="1" si="9"/>
        <v>0</v>
      </c>
      <c r="P37" s="127">
        <f t="shared" ca="1" si="9"/>
        <v>0</v>
      </c>
      <c r="Q37" s="127">
        <f t="shared" ca="1" si="10"/>
        <v>8.556636000000001</v>
      </c>
      <c r="R37" s="127">
        <f t="shared" ca="1" si="11"/>
        <v>0.80160998279999995</v>
      </c>
      <c r="S37" s="127">
        <f t="shared" si="12"/>
        <v>0</v>
      </c>
      <c r="T37" s="127">
        <f t="shared" si="13"/>
        <v>0</v>
      </c>
      <c r="U37" s="127">
        <f t="shared" si="14"/>
        <v>0</v>
      </c>
      <c r="V37" s="127">
        <f t="shared" si="15"/>
        <v>30.25</v>
      </c>
      <c r="W37" s="127">
        <f t="shared" si="16"/>
        <v>0</v>
      </c>
      <c r="X37" s="127">
        <f t="shared" ca="1" si="17"/>
        <v>0.52041000000000004</v>
      </c>
      <c r="Y37" s="127">
        <f t="shared" si="18"/>
        <v>0</v>
      </c>
      <c r="Z37" s="127">
        <f ca="1">IF($G37="ManTech",(SUM($N37:$Y37)*(VLOOKUP($L37,$L$9:$AB$24,Z$6,FALSE))),(IF(R37=0,((SUM(N37,#REF!))*(VLOOKUP($L37,$L$9:$AB$24,Z$6,FALSE))),(SUM($R37:$R37)*(VLOOKUP($L37,$L$9:$AB$24,Z$6,FALSE))))))</f>
        <v>6.2387238128107194</v>
      </c>
      <c r="AA37" s="127">
        <f t="shared" ca="1" si="19"/>
        <v>73.757379795610717</v>
      </c>
      <c r="AB37" s="127">
        <f t="shared" ca="1" si="20"/>
        <v>5.9005903836488578</v>
      </c>
      <c r="AC37" s="127">
        <f t="shared" ca="1" si="21"/>
        <v>79.66</v>
      </c>
      <c r="AD37" s="104">
        <f t="shared" si="22"/>
        <v>48</v>
      </c>
      <c r="AE37" s="92">
        <f t="shared" ca="1" si="23"/>
        <v>3823.68</v>
      </c>
      <c r="AF37" s="134">
        <f t="shared" ca="1" si="24"/>
        <v>637.28</v>
      </c>
      <c r="AG37" s="78"/>
      <c r="AH37" s="78"/>
      <c r="AI37" s="78">
        <f t="shared" ca="1" si="25"/>
        <v>3540.3542301893144</v>
      </c>
      <c r="AJ37" s="78">
        <f t="shared" ca="1" si="26"/>
        <v>3823.68</v>
      </c>
      <c r="AK37" s="78">
        <f t="shared" ca="1" si="27"/>
        <v>283.32576981068541</v>
      </c>
      <c r="AL37" s="94">
        <f t="shared" ca="1" si="28"/>
        <v>0.08</v>
      </c>
      <c r="AM37" s="78"/>
      <c r="AN37" s="78"/>
      <c r="AO37" s="78"/>
      <c r="AP37" s="78"/>
      <c r="AQ37" s="78"/>
      <c r="AR37" s="78"/>
      <c r="AS37" s="78"/>
      <c r="AT37" s="78"/>
      <c r="AU37" s="53"/>
      <c r="AV37" s="52"/>
      <c r="AW37" s="51"/>
      <c r="AZ37" s="46" t="str">
        <f t="shared" ca="1" si="29"/>
        <v>1</v>
      </c>
      <c r="BA37" s="46" t="str">
        <f t="shared" ca="1" si="30"/>
        <v>1</v>
      </c>
    </row>
    <row r="38" spans="4:53">
      <c r="D38" s="45">
        <f t="shared" si="31"/>
        <v>7</v>
      </c>
      <c r="E38" s="137" t="s">
        <v>66</v>
      </c>
      <c r="F38" s="45"/>
      <c r="G38" s="105" t="s">
        <v>241</v>
      </c>
      <c r="H38" s="45"/>
      <c r="I38" s="136">
        <v>0</v>
      </c>
      <c r="J38" s="135" t="str">
        <f t="shared" si="7"/>
        <v>Segovia, Inc.70Govt_Sub</v>
      </c>
      <c r="K38" s="135"/>
      <c r="L38" s="105" t="s">
        <v>119</v>
      </c>
      <c r="M38" s="127">
        <v>921</v>
      </c>
      <c r="N38" s="127">
        <f t="shared" ca="1" si="8"/>
        <v>921</v>
      </c>
      <c r="O38" s="127">
        <f t="shared" ca="1" si="9"/>
        <v>0</v>
      </c>
      <c r="P38" s="127">
        <f t="shared" ca="1" si="9"/>
        <v>0</v>
      </c>
      <c r="Q38" s="127">
        <f t="shared" ca="1" si="10"/>
        <v>0</v>
      </c>
      <c r="R38" s="127">
        <f t="shared" ca="1" si="11"/>
        <v>27.5379</v>
      </c>
      <c r="S38" s="127"/>
      <c r="T38" s="127"/>
      <c r="U38" s="127">
        <v>0</v>
      </c>
      <c r="V38" s="127">
        <v>0</v>
      </c>
      <c r="W38" s="127">
        <v>0</v>
      </c>
      <c r="X38" s="127">
        <v>0</v>
      </c>
      <c r="Y38" s="127">
        <v>0</v>
      </c>
      <c r="Z38" s="127">
        <f ca="1">IF($G38="ManTech",(SUM($N38:$Y38)*(VLOOKUP($L38,$L$9:$AB$24,Z$6,FALSE))),(IF(R38=0,((SUM(N38,#REF!))*(VLOOKUP($L38,$L$9:$AB$24,Z$6,FALSE))),(SUM($R38:$R38)*(VLOOKUP($L38,$L$9:$AB$24,Z$6,FALSE))))))</f>
        <v>2.5445019599999998</v>
      </c>
      <c r="AA38" s="127">
        <f t="shared" ca="1" si="19"/>
        <v>951.08240196000008</v>
      </c>
      <c r="AB38" s="127">
        <f t="shared" ca="1" si="20"/>
        <v>76.086592156800009</v>
      </c>
      <c r="AC38" s="127">
        <f t="shared" ca="1" si="21"/>
        <v>1027.17</v>
      </c>
      <c r="AD38" s="104">
        <v>1</v>
      </c>
      <c r="AE38" s="92">
        <f t="shared" ca="1" si="23"/>
        <v>1027.17</v>
      </c>
      <c r="AF38" s="134">
        <f ca="1">AE38</f>
        <v>1027.17</v>
      </c>
      <c r="AG38" s="78"/>
      <c r="AH38" s="78"/>
      <c r="AI38" s="78">
        <f t="shared" ca="1" si="25"/>
        <v>951.08240196000008</v>
      </c>
      <c r="AJ38" s="78">
        <f t="shared" ca="1" si="26"/>
        <v>1027.17</v>
      </c>
      <c r="AK38" s="78">
        <f t="shared" ca="1" si="27"/>
        <v>76.087598039999989</v>
      </c>
      <c r="AL38" s="94">
        <f t="shared" ca="1" si="28"/>
        <v>0.08</v>
      </c>
      <c r="AM38" s="78"/>
      <c r="AN38" s="78"/>
      <c r="AO38" s="78"/>
      <c r="AP38" s="78"/>
      <c r="AQ38" s="78"/>
      <c r="AR38" s="78"/>
      <c r="AS38" s="78"/>
      <c r="AT38" s="78"/>
      <c r="AU38" s="53"/>
      <c r="AV38" s="52"/>
      <c r="AW38" s="51"/>
      <c r="AZ38" s="46" t="str">
        <f t="shared" ca="1" si="29"/>
        <v>1</v>
      </c>
      <c r="BA38" s="46" t="str">
        <f t="shared" ca="1" si="30"/>
        <v>1</v>
      </c>
    </row>
    <row r="39" spans="4:53">
      <c r="D39" s="45">
        <f t="shared" si="31"/>
        <v>8</v>
      </c>
      <c r="E39" s="137" t="s">
        <v>266</v>
      </c>
      <c r="F39" s="45"/>
      <c r="G39" s="105" t="s">
        <v>241</v>
      </c>
      <c r="H39" s="45"/>
      <c r="I39" s="136">
        <v>0</v>
      </c>
      <c r="J39" s="135" t="str">
        <f t="shared" si="7"/>
        <v>Segovia, Inc.80Govt_Sub</v>
      </c>
      <c r="K39" s="135"/>
      <c r="L39" s="105" t="s">
        <v>119</v>
      </c>
      <c r="M39" s="127">
        <v>785</v>
      </c>
      <c r="N39" s="127">
        <f t="shared" ca="1" si="8"/>
        <v>785</v>
      </c>
      <c r="O39" s="127">
        <f t="shared" ca="1" si="9"/>
        <v>0</v>
      </c>
      <c r="P39" s="127">
        <f t="shared" ca="1" si="9"/>
        <v>0</v>
      </c>
      <c r="Q39" s="127">
        <f t="shared" ca="1" si="10"/>
        <v>0</v>
      </c>
      <c r="R39" s="127">
        <f t="shared" ca="1" si="11"/>
        <v>23.471499999999999</v>
      </c>
      <c r="S39" s="127"/>
      <c r="T39" s="127"/>
      <c r="U39" s="127">
        <v>0</v>
      </c>
      <c r="V39" s="127">
        <v>0</v>
      </c>
      <c r="W39" s="127">
        <v>0</v>
      </c>
      <c r="X39" s="127">
        <v>0</v>
      </c>
      <c r="Y39" s="127">
        <v>0</v>
      </c>
      <c r="Z39" s="127">
        <f ca="1">IF($G39="ManTech",(SUM($N39:$Y39)*(VLOOKUP($L39,$L$9:$AB$24,Z$6,FALSE))),(IF(R39=0,((SUM(N39,#REF!))*(VLOOKUP($L39,$L$9:$AB$24,Z$6,FALSE))),(SUM($R39:$R39)*(VLOOKUP($L39,$L$9:$AB$24,Z$6,FALSE))))))</f>
        <v>2.1687665999999997</v>
      </c>
      <c r="AA39" s="127">
        <f t="shared" ca="1" si="19"/>
        <v>810.64026660000002</v>
      </c>
      <c r="AB39" s="127">
        <f t="shared" ca="1" si="20"/>
        <v>64.851221328000008</v>
      </c>
      <c r="AC39" s="127">
        <f t="shared" ca="1" si="21"/>
        <v>875.49</v>
      </c>
      <c r="AD39" s="104">
        <v>1</v>
      </c>
      <c r="AE39" s="92">
        <f t="shared" ca="1" si="23"/>
        <v>875.49</v>
      </c>
      <c r="AF39" s="134">
        <f ca="1">AE39</f>
        <v>875.49</v>
      </c>
      <c r="AG39" s="78"/>
      <c r="AH39" s="78"/>
      <c r="AI39" s="78">
        <f t="shared" ca="1" si="25"/>
        <v>810.64026660000002</v>
      </c>
      <c r="AJ39" s="78">
        <f t="shared" ca="1" si="26"/>
        <v>875.49</v>
      </c>
      <c r="AK39" s="78">
        <f t="shared" ca="1" si="27"/>
        <v>64.849733399999991</v>
      </c>
      <c r="AL39" s="94">
        <f t="shared" ca="1" si="28"/>
        <v>0.08</v>
      </c>
      <c r="AM39" s="78"/>
      <c r="AN39" s="78"/>
      <c r="AO39" s="78"/>
      <c r="AP39" s="78"/>
      <c r="AQ39" s="78"/>
      <c r="AR39" s="78"/>
      <c r="AS39" s="78"/>
      <c r="AT39" s="78"/>
      <c r="AU39" s="53"/>
      <c r="AV39" s="52"/>
      <c r="AW39" s="51"/>
      <c r="AZ39" s="46" t="str">
        <f t="shared" ca="1" si="29"/>
        <v>1</v>
      </c>
      <c r="BA39" s="46" t="str">
        <f t="shared" ca="1" si="30"/>
        <v>1</v>
      </c>
    </row>
    <row r="40" spans="4:53">
      <c r="D40" s="45">
        <f t="shared" si="31"/>
        <v>9</v>
      </c>
      <c r="E40" s="137" t="s">
        <v>74</v>
      </c>
      <c r="F40" s="45"/>
      <c r="G40" s="105" t="s">
        <v>241</v>
      </c>
      <c r="H40" s="45"/>
      <c r="I40" s="136">
        <v>0</v>
      </c>
      <c r="J40" s="135" t="str">
        <f t="shared" si="7"/>
        <v>Segovia, Inc.90Govt_Sub</v>
      </c>
      <c r="K40" s="135"/>
      <c r="L40" s="105" t="s">
        <v>119</v>
      </c>
      <c r="M40" s="127">
        <v>689</v>
      </c>
      <c r="N40" s="127">
        <f t="shared" ca="1" si="8"/>
        <v>689</v>
      </c>
      <c r="O40" s="127">
        <f t="shared" ca="1" si="9"/>
        <v>0</v>
      </c>
      <c r="P40" s="127">
        <f t="shared" ca="1" si="9"/>
        <v>0</v>
      </c>
      <c r="Q40" s="127">
        <f t="shared" ca="1" si="10"/>
        <v>0</v>
      </c>
      <c r="R40" s="127">
        <f t="shared" ca="1" si="11"/>
        <v>20.601099999999999</v>
      </c>
      <c r="S40" s="127"/>
      <c r="T40" s="127"/>
      <c r="U40" s="127">
        <v>0</v>
      </c>
      <c r="V40" s="127">
        <v>0</v>
      </c>
      <c r="W40" s="127">
        <v>0</v>
      </c>
      <c r="X40" s="127">
        <v>0</v>
      </c>
      <c r="Y40" s="127">
        <v>0</v>
      </c>
      <c r="Z40" s="127">
        <f ca="1">IF($G40="ManTech",(SUM($N40:$Y40)*(VLOOKUP($L40,$L$9:$AB$24,Z$6,FALSE))),(IF(R40=0,((SUM(N40,#REF!))*(VLOOKUP($L40,$L$9:$AB$24,Z$6,FALSE))),(SUM($R40:$R40)*(VLOOKUP($L40,$L$9:$AB$24,Z$6,FALSE))))))</f>
        <v>1.9035416399999998</v>
      </c>
      <c r="AA40" s="127">
        <f t="shared" ca="1" si="19"/>
        <v>711.50464163999993</v>
      </c>
      <c r="AB40" s="127">
        <f t="shared" ca="1" si="20"/>
        <v>56.920371331199995</v>
      </c>
      <c r="AC40" s="127">
        <f t="shared" ca="1" si="21"/>
        <v>768.43</v>
      </c>
      <c r="AD40" s="104">
        <v>1</v>
      </c>
      <c r="AE40" s="92">
        <f t="shared" ca="1" si="23"/>
        <v>768.43</v>
      </c>
      <c r="AF40" s="134">
        <f ca="1">AE40</f>
        <v>768.43</v>
      </c>
      <c r="AG40" s="78"/>
      <c r="AH40" s="78"/>
      <c r="AI40" s="78">
        <f t="shared" ca="1" si="25"/>
        <v>711.50464163999993</v>
      </c>
      <c r="AJ40" s="78">
        <f t="shared" ca="1" si="26"/>
        <v>768.43</v>
      </c>
      <c r="AK40" s="78">
        <f t="shared" ca="1" si="27"/>
        <v>56.925358360000018</v>
      </c>
      <c r="AL40" s="94">
        <f t="shared" ca="1" si="28"/>
        <v>0.08</v>
      </c>
      <c r="AM40" s="78"/>
      <c r="AN40" s="78"/>
      <c r="AO40" s="78"/>
      <c r="AP40" s="78"/>
      <c r="AQ40" s="78"/>
      <c r="AR40" s="78"/>
      <c r="AS40" s="78"/>
      <c r="AT40" s="78"/>
      <c r="AU40" s="53"/>
      <c r="AV40" s="52"/>
      <c r="AW40" s="51"/>
      <c r="AZ40" s="46" t="str">
        <f t="shared" ca="1" si="29"/>
        <v>1</v>
      </c>
      <c r="BA40" s="46" t="str">
        <f t="shared" ca="1" si="30"/>
        <v>1</v>
      </c>
    </row>
    <row r="41" spans="4:53">
      <c r="D41" s="45">
        <f t="shared" si="31"/>
        <v>10</v>
      </c>
      <c r="E41" s="137" t="s">
        <v>74</v>
      </c>
      <c r="F41" s="45"/>
      <c r="G41" s="105" t="s">
        <v>241</v>
      </c>
      <c r="H41" s="45"/>
      <c r="I41" s="136">
        <v>0</v>
      </c>
      <c r="J41" s="135" t="str">
        <f t="shared" si="7"/>
        <v>Segovia, Inc.100Govt_Sub</v>
      </c>
      <c r="K41" s="135"/>
      <c r="L41" s="105" t="s">
        <v>119</v>
      </c>
      <c r="M41" s="127">
        <v>689</v>
      </c>
      <c r="N41" s="127">
        <f t="shared" ca="1" si="8"/>
        <v>689</v>
      </c>
      <c r="O41" s="127">
        <f t="shared" ca="1" si="9"/>
        <v>0</v>
      </c>
      <c r="P41" s="127">
        <f t="shared" ca="1" si="9"/>
        <v>0</v>
      </c>
      <c r="Q41" s="127">
        <f t="shared" ca="1" si="10"/>
        <v>0</v>
      </c>
      <c r="R41" s="127">
        <f t="shared" ca="1" si="11"/>
        <v>20.601099999999999</v>
      </c>
      <c r="S41" s="127"/>
      <c r="T41" s="127"/>
      <c r="U41" s="127">
        <v>0</v>
      </c>
      <c r="V41" s="127">
        <v>0</v>
      </c>
      <c r="W41" s="127">
        <v>0</v>
      </c>
      <c r="X41" s="127">
        <v>0</v>
      </c>
      <c r="Y41" s="127">
        <v>0</v>
      </c>
      <c r="Z41" s="127">
        <f ca="1">IF($G41="ManTech",(SUM($N41:$Y41)*(VLOOKUP($L41,$L$9:$AB$24,Z$6,FALSE))),(IF(R41=0,((SUM(N41,#REF!))*(VLOOKUP($L41,$L$9:$AB$24,Z$6,FALSE))),(SUM($R41:$R41)*(VLOOKUP($L41,$L$9:$AB$24,Z$6,FALSE))))))</f>
        <v>1.9035416399999998</v>
      </c>
      <c r="AA41" s="127">
        <f t="shared" ca="1" si="19"/>
        <v>711.50464163999993</v>
      </c>
      <c r="AB41" s="127">
        <f t="shared" ca="1" si="20"/>
        <v>56.920371331199995</v>
      </c>
      <c r="AC41" s="127">
        <f t="shared" ca="1" si="21"/>
        <v>768.43</v>
      </c>
      <c r="AD41" s="104">
        <v>1</v>
      </c>
      <c r="AE41" s="92">
        <f t="shared" ca="1" si="23"/>
        <v>768.43</v>
      </c>
      <c r="AF41" s="134">
        <f ca="1">AE41</f>
        <v>768.43</v>
      </c>
      <c r="AG41" s="78"/>
      <c r="AH41" s="78"/>
      <c r="AI41" s="78">
        <f t="shared" ca="1" si="25"/>
        <v>711.50464163999993</v>
      </c>
      <c r="AJ41" s="78">
        <f t="shared" ca="1" si="26"/>
        <v>768.43</v>
      </c>
      <c r="AK41" s="78">
        <f t="shared" ca="1" si="27"/>
        <v>56.925358360000018</v>
      </c>
      <c r="AL41" s="94">
        <f t="shared" ca="1" si="28"/>
        <v>0.08</v>
      </c>
      <c r="AM41" s="78"/>
      <c r="AN41" s="78"/>
      <c r="AO41" s="78"/>
      <c r="AP41" s="78"/>
      <c r="AQ41" s="78"/>
      <c r="AR41" s="78"/>
      <c r="AS41" s="78"/>
      <c r="AT41" s="78"/>
      <c r="AU41" s="53"/>
      <c r="AV41" s="52"/>
      <c r="AW41" s="51"/>
      <c r="AZ41" s="46" t="str">
        <f t="shared" ca="1" si="29"/>
        <v>1</v>
      </c>
      <c r="BA41" s="46" t="str">
        <f t="shared" ca="1" si="30"/>
        <v>1</v>
      </c>
    </row>
    <row r="42" spans="4:53">
      <c r="D42" s="45">
        <f t="shared" si="31"/>
        <v>11</v>
      </c>
      <c r="E42" s="137" t="s">
        <v>75</v>
      </c>
      <c r="F42" s="45"/>
      <c r="G42" s="105" t="s">
        <v>99</v>
      </c>
      <c r="H42" s="45"/>
      <c r="I42" s="136">
        <v>0</v>
      </c>
      <c r="J42" s="135" t="str">
        <f t="shared" si="7"/>
        <v>ManTech110Govt</v>
      </c>
      <c r="K42" s="135"/>
      <c r="L42" s="105" t="s">
        <v>120</v>
      </c>
      <c r="M42" s="127">
        <v>27.5</v>
      </c>
      <c r="N42" s="127">
        <f t="shared" ca="1" si="8"/>
        <v>28.97</v>
      </c>
      <c r="O42" s="127">
        <f t="shared" ca="1" si="9"/>
        <v>0</v>
      </c>
      <c r="P42" s="127">
        <f t="shared" ca="1" si="9"/>
        <v>0</v>
      </c>
      <c r="Q42" s="127">
        <f t="shared" ca="1" si="10"/>
        <v>9.0502280000000006</v>
      </c>
      <c r="R42" s="127">
        <f t="shared" ca="1" si="11"/>
        <v>0.84785108440000012</v>
      </c>
      <c r="S42" s="127">
        <f>$S$10/AD42</f>
        <v>0</v>
      </c>
      <c r="T42" s="127">
        <f>$T$10/AD42</f>
        <v>0</v>
      </c>
      <c r="U42" s="127">
        <f>(M42*AD42)*$U$10</f>
        <v>0</v>
      </c>
      <c r="V42" s="127">
        <f>($V$10/$AF$29)</f>
        <v>30.25</v>
      </c>
      <c r="W42" s="127">
        <f>$W$10/AD42</f>
        <v>0</v>
      </c>
      <c r="X42" s="127">
        <f ca="1">N42*$X$10</f>
        <v>0.55042999999999997</v>
      </c>
      <c r="Y42" s="127">
        <f>$Y$10/AD42</f>
        <v>0</v>
      </c>
      <c r="Z42" s="127">
        <f ca="1">IF($G42="ManTech",(SUM($N42:$Y42)*(VLOOKUP($L42,$L$9:$AB$24,Z$6,FALSE))),(IF(R42=0,((SUM(N42,#REF!))*(VLOOKUP($L42,$L$9:$AB$24,Z$6,FALSE))),(SUM($R42:$R42)*(VLOOKUP($L42,$L$9:$AB$24,Z$6,FALSE))))))</f>
        <v>6.4373702393985601</v>
      </c>
      <c r="AA42" s="127">
        <f t="shared" ca="1" si="19"/>
        <v>76.105879323798561</v>
      </c>
      <c r="AB42" s="127">
        <f t="shared" ca="1" si="20"/>
        <v>6.0884703459038851</v>
      </c>
      <c r="AC42" s="127">
        <f t="shared" ca="1" si="21"/>
        <v>82.19</v>
      </c>
      <c r="AD42" s="104">
        <f>8*6</f>
        <v>48</v>
      </c>
      <c r="AE42" s="92">
        <f t="shared" ca="1" si="23"/>
        <v>3945.12</v>
      </c>
      <c r="AF42" s="134">
        <f ca="1">AC42*$AF$29</f>
        <v>657.52</v>
      </c>
      <c r="AG42" s="78"/>
      <c r="AH42" s="78"/>
      <c r="AI42" s="78">
        <f t="shared" ca="1" si="25"/>
        <v>3653.0822075423312</v>
      </c>
      <c r="AJ42" s="78">
        <f t="shared" ca="1" si="26"/>
        <v>3945.12</v>
      </c>
      <c r="AK42" s="78">
        <f t="shared" ca="1" si="27"/>
        <v>292.03779245766873</v>
      </c>
      <c r="AL42" s="94">
        <f t="shared" ca="1" si="28"/>
        <v>0.08</v>
      </c>
      <c r="AM42" s="78"/>
      <c r="AN42" s="78"/>
      <c r="AO42" s="78"/>
      <c r="AP42" s="78"/>
      <c r="AQ42" s="78"/>
      <c r="AR42" s="78"/>
      <c r="AS42" s="78"/>
      <c r="AT42" s="78"/>
      <c r="AU42" s="53"/>
      <c r="AV42" s="52"/>
      <c r="AW42" s="51"/>
      <c r="AZ42" s="46" t="str">
        <f t="shared" ca="1" si="29"/>
        <v>1</v>
      </c>
      <c r="BA42" s="46" t="str">
        <f t="shared" ca="1" si="30"/>
        <v>1</v>
      </c>
    </row>
    <row r="43" spans="4:53">
      <c r="D43" s="45">
        <f t="shared" si="31"/>
        <v>12</v>
      </c>
      <c r="E43" s="137" t="s">
        <v>76</v>
      </c>
      <c r="F43" s="45"/>
      <c r="G43" s="105" t="s">
        <v>99</v>
      </c>
      <c r="H43" s="45"/>
      <c r="I43" s="136">
        <v>0</v>
      </c>
      <c r="J43" s="135" t="str">
        <f t="shared" si="7"/>
        <v>ManTech120Govt</v>
      </c>
      <c r="K43" s="135"/>
      <c r="L43" s="105" t="s">
        <v>120</v>
      </c>
      <c r="M43" s="127">
        <v>28</v>
      </c>
      <c r="N43" s="127">
        <f t="shared" ca="1" si="8"/>
        <v>29.5</v>
      </c>
      <c r="O43" s="127">
        <f t="shared" ca="1" si="9"/>
        <v>0</v>
      </c>
      <c r="P43" s="127">
        <f t="shared" ca="1" si="9"/>
        <v>0</v>
      </c>
      <c r="Q43" s="127">
        <f t="shared" ca="1" si="10"/>
        <v>9.2157999999999998</v>
      </c>
      <c r="R43" s="127">
        <f t="shared" ca="1" si="11"/>
        <v>0.86336234000000001</v>
      </c>
      <c r="S43" s="127">
        <f>$S$10/AD43</f>
        <v>0</v>
      </c>
      <c r="T43" s="127">
        <f>$T$10/AD43</f>
        <v>0</v>
      </c>
      <c r="U43" s="127">
        <f>(M43*AD43)*$U$10</f>
        <v>0</v>
      </c>
      <c r="V43" s="127">
        <f>($V$10/$AF$29)</f>
        <v>30.25</v>
      </c>
      <c r="W43" s="127">
        <f>$W$10/AD43</f>
        <v>0</v>
      </c>
      <c r="X43" s="127">
        <f ca="1">N43*$X$10</f>
        <v>0.5605</v>
      </c>
      <c r="Y43" s="127">
        <f>$Y$10/AD43</f>
        <v>0</v>
      </c>
      <c r="Z43" s="127">
        <f ca="1">IF($G43="ManTech",(SUM($N43:$Y43)*(VLOOKUP($L43,$L$9:$AB$24,Z$6,FALSE))),(IF(R43=0,((SUM(N43,#REF!))*(VLOOKUP($L43,$L$9:$AB$24,Z$6,FALSE))),(SUM($R43:$R43)*(VLOOKUP($L43,$L$9:$AB$24,Z$6,FALSE))))))</f>
        <v>6.5040048002160011</v>
      </c>
      <c r="AA43" s="127">
        <f t="shared" ca="1" si="19"/>
        <v>76.89366714021601</v>
      </c>
      <c r="AB43" s="127">
        <f t="shared" ca="1" si="20"/>
        <v>6.1514933712172812</v>
      </c>
      <c r="AC43" s="127">
        <f t="shared" ca="1" si="21"/>
        <v>83.05</v>
      </c>
      <c r="AD43" s="104">
        <f>8*6</f>
        <v>48</v>
      </c>
      <c r="AE43" s="92">
        <f t="shared" ca="1" si="23"/>
        <v>3986.3999999999996</v>
      </c>
      <c r="AF43" s="134">
        <f ca="1">AC43*$AF$29</f>
        <v>664.4</v>
      </c>
      <c r="AG43" s="78"/>
      <c r="AH43" s="78"/>
      <c r="AI43" s="78">
        <f t="shared" ca="1" si="25"/>
        <v>3690.8960227303687</v>
      </c>
      <c r="AJ43" s="78">
        <f t="shared" ca="1" si="26"/>
        <v>3986.3999999999996</v>
      </c>
      <c r="AK43" s="78">
        <f t="shared" ca="1" si="27"/>
        <v>295.50397726963092</v>
      </c>
      <c r="AL43" s="94">
        <f t="shared" ca="1" si="28"/>
        <v>0.08</v>
      </c>
      <c r="AM43" s="78"/>
      <c r="AN43" s="78"/>
      <c r="AO43" s="78"/>
      <c r="AP43" s="78"/>
      <c r="AQ43" s="78"/>
      <c r="AR43" s="78"/>
      <c r="AS43" s="78"/>
      <c r="AT43" s="78"/>
      <c r="AU43" s="53"/>
      <c r="AV43" s="52"/>
      <c r="AW43" s="51"/>
      <c r="AZ43" s="46" t="str">
        <f t="shared" ca="1" si="29"/>
        <v>1</v>
      </c>
      <c r="BA43" s="46" t="str">
        <f t="shared" ca="1" si="30"/>
        <v>1</v>
      </c>
    </row>
    <row r="44" spans="4:53">
      <c r="D44" s="45">
        <f t="shared" si="31"/>
        <v>13</v>
      </c>
      <c r="E44" s="137" t="s">
        <v>77</v>
      </c>
      <c r="F44" s="45"/>
      <c r="G44" s="105" t="s">
        <v>99</v>
      </c>
      <c r="H44" s="45"/>
      <c r="I44" s="136">
        <v>0</v>
      </c>
      <c r="J44" s="135" t="str">
        <f t="shared" si="7"/>
        <v>ManTech130Govt</v>
      </c>
      <c r="K44" s="135"/>
      <c r="L44" s="105" t="s">
        <v>120</v>
      </c>
      <c r="M44" s="127">
        <v>26</v>
      </c>
      <c r="N44" s="127">
        <f t="shared" ca="1" si="8"/>
        <v>27.39</v>
      </c>
      <c r="O44" s="127">
        <f t="shared" ca="1" si="9"/>
        <v>0</v>
      </c>
      <c r="P44" s="127">
        <f t="shared" ca="1" si="9"/>
        <v>0</v>
      </c>
      <c r="Q44" s="127">
        <f t="shared" ca="1" si="10"/>
        <v>8.556636000000001</v>
      </c>
      <c r="R44" s="127">
        <f t="shared" ca="1" si="11"/>
        <v>0.80160998279999995</v>
      </c>
      <c r="S44" s="127">
        <f>$S$10/AD44</f>
        <v>0</v>
      </c>
      <c r="T44" s="127">
        <f>$T$10/AD44</f>
        <v>0</v>
      </c>
      <c r="U44" s="127">
        <f>(M44*AD44)*$U$10</f>
        <v>0</v>
      </c>
      <c r="V44" s="127">
        <f>($V$10/$AF$29)</f>
        <v>30.25</v>
      </c>
      <c r="W44" s="127">
        <f>$W$10/AD44</f>
        <v>0</v>
      </c>
      <c r="X44" s="127">
        <f ca="1">N44*$X$10</f>
        <v>0.52041000000000004</v>
      </c>
      <c r="Y44" s="127">
        <f>$Y$10/AD44</f>
        <v>0</v>
      </c>
      <c r="Z44" s="127">
        <f ca="1">IF($G44="ManTech",(SUM($N44:$Y44)*(VLOOKUP($L44,$L$9:$AB$24,Z$6,FALSE))),(IF(R44=0,((SUM(N44,#REF!))*(VLOOKUP($L44,$L$9:$AB$24,Z$6,FALSE))),(SUM($R44:$R44)*(VLOOKUP($L44,$L$9:$AB$24,Z$6,FALSE))))))</f>
        <v>6.2387238128107194</v>
      </c>
      <c r="AA44" s="127">
        <f t="shared" ca="1" si="19"/>
        <v>73.757379795610717</v>
      </c>
      <c r="AB44" s="127">
        <f t="shared" ca="1" si="20"/>
        <v>5.9005903836488578</v>
      </c>
      <c r="AC44" s="127">
        <f t="shared" ca="1" si="21"/>
        <v>79.66</v>
      </c>
      <c r="AD44" s="104">
        <f>8*6</f>
        <v>48</v>
      </c>
      <c r="AE44" s="92">
        <f t="shared" ca="1" si="23"/>
        <v>3823.68</v>
      </c>
      <c r="AF44" s="134">
        <f ca="1">AC44*$AF$29</f>
        <v>637.28</v>
      </c>
      <c r="AG44" s="78"/>
      <c r="AH44" s="78"/>
      <c r="AI44" s="78">
        <f t="shared" ca="1" si="25"/>
        <v>3540.3542301893144</v>
      </c>
      <c r="AJ44" s="78">
        <f t="shared" ca="1" si="26"/>
        <v>3823.68</v>
      </c>
      <c r="AK44" s="78">
        <f t="shared" ca="1" si="27"/>
        <v>283.32576981068541</v>
      </c>
      <c r="AL44" s="94">
        <f t="shared" ca="1" si="28"/>
        <v>0.08</v>
      </c>
      <c r="AM44" s="78"/>
      <c r="AN44" s="78"/>
      <c r="AO44" s="78"/>
      <c r="AP44" s="78"/>
      <c r="AQ44" s="78"/>
      <c r="AR44" s="78"/>
      <c r="AS44" s="78"/>
      <c r="AT44" s="78"/>
      <c r="AU44" s="53"/>
      <c r="AV44" s="52"/>
      <c r="AW44" s="51"/>
      <c r="AZ44" s="46" t="str">
        <f t="shared" ca="1" si="29"/>
        <v>1</v>
      </c>
      <c r="BA44" s="46" t="str">
        <f t="shared" ca="1" si="30"/>
        <v>1</v>
      </c>
    </row>
    <row r="45" spans="4:53">
      <c r="D45" s="45">
        <f t="shared" si="31"/>
        <v>14</v>
      </c>
      <c r="E45" s="137" t="s">
        <v>78</v>
      </c>
      <c r="F45" s="45"/>
      <c r="G45" s="105" t="s">
        <v>99</v>
      </c>
      <c r="H45" s="45"/>
      <c r="I45" s="136">
        <v>0</v>
      </c>
      <c r="J45" s="135" t="str">
        <f t="shared" si="7"/>
        <v>ManTech140Govt</v>
      </c>
      <c r="K45" s="135"/>
      <c r="L45" s="105" t="s">
        <v>120</v>
      </c>
      <c r="M45" s="127">
        <v>26</v>
      </c>
      <c r="N45" s="127">
        <f t="shared" ca="1" si="8"/>
        <v>27.39</v>
      </c>
      <c r="O45" s="127">
        <f t="shared" ca="1" si="9"/>
        <v>0</v>
      </c>
      <c r="P45" s="127">
        <f t="shared" ca="1" si="9"/>
        <v>0</v>
      </c>
      <c r="Q45" s="127">
        <f t="shared" ca="1" si="10"/>
        <v>8.556636000000001</v>
      </c>
      <c r="R45" s="127">
        <f t="shared" ca="1" si="11"/>
        <v>0.80160998279999995</v>
      </c>
      <c r="S45" s="127">
        <f>$S$10/AD45</f>
        <v>0</v>
      </c>
      <c r="T45" s="127">
        <f>$T$10/AD45</f>
        <v>0</v>
      </c>
      <c r="U45" s="127">
        <f>(M45*AD45)*$U$10</f>
        <v>0</v>
      </c>
      <c r="V45" s="127">
        <f>($V$10/$AF$29)</f>
        <v>30.25</v>
      </c>
      <c r="W45" s="127">
        <f>$W$10/AD45</f>
        <v>0</v>
      </c>
      <c r="X45" s="127">
        <f ca="1">N45*$X$10</f>
        <v>0.52041000000000004</v>
      </c>
      <c r="Y45" s="127">
        <f>$Y$10/AD45</f>
        <v>0</v>
      </c>
      <c r="Z45" s="127">
        <f ca="1">IF($G45="ManTech",(SUM($N45:$Y45)*(VLOOKUP($L45,$L$9:$AB$24,Z$6,FALSE))),(IF(R45=0,((SUM(N45,#REF!))*(VLOOKUP($L45,$L$9:$AB$24,Z$6,FALSE))),(SUM($R45:$R45)*(VLOOKUP($L45,$L$9:$AB$24,Z$6,FALSE))))))</f>
        <v>6.2387238128107194</v>
      </c>
      <c r="AA45" s="127">
        <f t="shared" ca="1" si="19"/>
        <v>73.757379795610717</v>
      </c>
      <c r="AB45" s="127">
        <f t="shared" ca="1" si="20"/>
        <v>5.9005903836488578</v>
      </c>
      <c r="AC45" s="127">
        <f t="shared" ca="1" si="21"/>
        <v>79.66</v>
      </c>
      <c r="AD45" s="104">
        <f>8*6</f>
        <v>48</v>
      </c>
      <c r="AE45" s="92">
        <f t="shared" ca="1" si="23"/>
        <v>3823.68</v>
      </c>
      <c r="AF45" s="134">
        <f ca="1">AC45*$AF$29</f>
        <v>637.28</v>
      </c>
      <c r="AG45" s="78"/>
      <c r="AH45" s="78"/>
      <c r="AI45" s="78">
        <f t="shared" ca="1" si="25"/>
        <v>3540.3542301893144</v>
      </c>
      <c r="AJ45" s="78">
        <f t="shared" ca="1" si="26"/>
        <v>3823.68</v>
      </c>
      <c r="AK45" s="78">
        <f t="shared" ca="1" si="27"/>
        <v>283.32576981068541</v>
      </c>
      <c r="AL45" s="94">
        <f t="shared" ca="1" si="28"/>
        <v>0.08</v>
      </c>
      <c r="AM45" s="78"/>
      <c r="AN45" s="78"/>
      <c r="AO45" s="78"/>
      <c r="AP45" s="78"/>
      <c r="AQ45" s="78"/>
      <c r="AR45" s="78"/>
      <c r="AS45" s="78"/>
      <c r="AT45" s="78"/>
      <c r="AU45" s="53"/>
      <c r="AV45" s="52"/>
      <c r="AW45" s="51"/>
      <c r="AZ45" s="46" t="str">
        <f t="shared" ca="1" si="29"/>
        <v>1</v>
      </c>
      <c r="BA45" s="46" t="str">
        <f t="shared" ca="1" si="30"/>
        <v>1</v>
      </c>
    </row>
    <row r="46" spans="4:53">
      <c r="D46" s="45">
        <f t="shared" si="31"/>
        <v>15</v>
      </c>
      <c r="E46" s="137" t="s">
        <v>79</v>
      </c>
      <c r="F46" s="45"/>
      <c r="G46" s="105" t="s">
        <v>99</v>
      </c>
      <c r="H46" s="45"/>
      <c r="I46" s="136">
        <v>0</v>
      </c>
      <c r="J46" s="135" t="str">
        <f t="shared" si="7"/>
        <v>ManTech150Govt</v>
      </c>
      <c r="K46" s="135"/>
      <c r="L46" s="105" t="s">
        <v>120</v>
      </c>
      <c r="M46" s="127">
        <v>25</v>
      </c>
      <c r="N46" s="127">
        <f t="shared" ca="1" si="8"/>
        <v>26.34</v>
      </c>
      <c r="O46" s="127">
        <f t="shared" ca="1" si="9"/>
        <v>0</v>
      </c>
      <c r="P46" s="127">
        <f t="shared" ca="1" si="9"/>
        <v>0</v>
      </c>
      <c r="Q46" s="127">
        <f t="shared" ca="1" si="10"/>
        <v>8.2286160000000006</v>
      </c>
      <c r="R46" s="127">
        <f t="shared" ca="1" si="11"/>
        <v>0.7708801368</v>
      </c>
      <c r="S46" s="127">
        <f>$S$10/AD46</f>
        <v>0</v>
      </c>
      <c r="T46" s="127">
        <f>$T$10/AD46</f>
        <v>0</v>
      </c>
      <c r="U46" s="127">
        <f>(M46*AD46)*$U$10</f>
        <v>0</v>
      </c>
      <c r="V46" s="127">
        <f>($V$10/$AF$29)</f>
        <v>30.25</v>
      </c>
      <c r="W46" s="127">
        <f>$W$10/AD46</f>
        <v>0</v>
      </c>
      <c r="X46" s="127">
        <f ca="1">N46*$X$10</f>
        <v>0.50046000000000002</v>
      </c>
      <c r="Y46" s="127">
        <f>$Y$10/AD46</f>
        <v>0</v>
      </c>
      <c r="Z46" s="127">
        <f ca="1">IF($G46="ManTech",(SUM($N46:$Y46)*(VLOOKUP($L46,$L$9:$AB$24,Z$6,FALSE))),(IF(R46=0,((SUM(N46,#REF!))*(VLOOKUP($L46,$L$9:$AB$24,Z$6,FALSE))),(SUM($R46:$R46)*(VLOOKUP($L46,$L$9:$AB$24,Z$6,FALSE))))))</f>
        <v>6.1067119470403197</v>
      </c>
      <c r="AA46" s="127">
        <f t="shared" ca="1" si="19"/>
        <v>72.196668083840322</v>
      </c>
      <c r="AB46" s="127">
        <f t="shared" ca="1" si="20"/>
        <v>5.7757334467072257</v>
      </c>
      <c r="AC46" s="127">
        <f t="shared" ca="1" si="21"/>
        <v>77.97</v>
      </c>
      <c r="AD46" s="104">
        <f>8*6</f>
        <v>48</v>
      </c>
      <c r="AE46" s="92">
        <f t="shared" ca="1" si="23"/>
        <v>3742.56</v>
      </c>
      <c r="AF46" s="134">
        <f ca="1">AC46*$AF$29</f>
        <v>623.76</v>
      </c>
      <c r="AG46" s="78"/>
      <c r="AH46" s="78"/>
      <c r="AI46" s="78">
        <f t="shared" ca="1" si="25"/>
        <v>3465.4400680243352</v>
      </c>
      <c r="AJ46" s="78">
        <f t="shared" ca="1" si="26"/>
        <v>3742.56</v>
      </c>
      <c r="AK46" s="78">
        <f t="shared" ca="1" si="27"/>
        <v>277.11993197566471</v>
      </c>
      <c r="AL46" s="94">
        <f t="shared" ca="1" si="28"/>
        <v>0.08</v>
      </c>
      <c r="AM46" s="78"/>
      <c r="AN46" s="78"/>
      <c r="AO46" s="78"/>
      <c r="AP46" s="78"/>
      <c r="AQ46" s="78"/>
      <c r="AR46" s="78"/>
      <c r="AS46" s="78"/>
      <c r="AT46" s="78"/>
      <c r="AU46" s="53"/>
      <c r="AV46" s="52"/>
      <c r="AW46" s="51"/>
      <c r="AZ46" s="46" t="str">
        <f t="shared" ca="1" si="29"/>
        <v>1</v>
      </c>
      <c r="BA46" s="46" t="str">
        <f t="shared" ca="1" si="30"/>
        <v>1</v>
      </c>
    </row>
    <row r="47" spans="4:53">
      <c r="E47" s="137"/>
      <c r="F47" s="45"/>
      <c r="G47" s="105"/>
      <c r="H47" s="45"/>
      <c r="I47" s="136"/>
      <c r="J47" s="135"/>
      <c r="K47" s="135"/>
      <c r="L47" s="105"/>
      <c r="M47" s="127"/>
      <c r="N47" s="127"/>
      <c r="O47" s="127"/>
      <c r="P47" s="127"/>
      <c r="Q47" s="127"/>
      <c r="R47" s="127"/>
      <c r="S47" s="127"/>
      <c r="T47" s="127"/>
      <c r="U47" s="127"/>
      <c r="V47" s="127"/>
      <c r="W47" s="127"/>
      <c r="X47" s="127"/>
      <c r="Y47" s="127"/>
      <c r="Z47" s="127"/>
      <c r="AA47" s="127"/>
      <c r="AB47" s="127"/>
      <c r="AC47" s="127"/>
      <c r="AD47" s="104"/>
      <c r="AE47" s="92"/>
      <c r="AF47" s="134"/>
      <c r="AG47" s="78"/>
      <c r="AH47" s="78"/>
      <c r="AI47" s="78"/>
      <c r="AJ47" s="78"/>
      <c r="AK47" s="78"/>
      <c r="AL47" s="94"/>
      <c r="AM47" s="78"/>
      <c r="AN47" s="78"/>
      <c r="AO47" s="78"/>
      <c r="AP47" s="78"/>
      <c r="AQ47" s="78"/>
      <c r="AR47" s="78"/>
      <c r="AS47" s="78"/>
      <c r="AT47" s="78"/>
      <c r="AU47" s="53"/>
      <c r="AV47" s="52"/>
      <c r="AW47" s="51"/>
    </row>
    <row r="48" spans="4:53">
      <c r="D48" s="45">
        <v>16</v>
      </c>
      <c r="E48" s="137" t="s">
        <v>167</v>
      </c>
      <c r="F48" s="45"/>
      <c r="G48" s="105" t="s">
        <v>99</v>
      </c>
      <c r="H48" s="45"/>
      <c r="I48" s="136" t="s">
        <v>265</v>
      </c>
      <c r="J48" s="135" t="str">
        <f>G48&amp;D48&amp;I48&amp;L48</f>
        <v>ManTech16Martin,Lindy EGovt</v>
      </c>
      <c r="K48" s="135"/>
      <c r="L48" s="105" t="s">
        <v>120</v>
      </c>
      <c r="M48" s="127">
        <v>108.5</v>
      </c>
      <c r="N48" s="127">
        <f ca="1">ROUND($M48*(VLOOKUP($L48,$L$9:$AB$24,N$6,FALSE)),2)</f>
        <v>114.31</v>
      </c>
      <c r="O48" s="127">
        <f ca="1">$N48*(VLOOKUP($L48,$L$9:$AB$24,O$6,FALSE))</f>
        <v>0</v>
      </c>
      <c r="P48" s="127">
        <f ca="1">$N48*(VLOOKUP($L48,$L$9:$AB$24,P$6,FALSE))</f>
        <v>0</v>
      </c>
      <c r="Q48" s="127">
        <f ca="1">($N48+O48+P48)*(VLOOKUP($L48,$L$9:$AB$24,Q$6,FALSE))</f>
        <v>35.710444000000003</v>
      </c>
      <c r="R48" s="127">
        <f ca="1">($N48+$Q48+O48+P48)*(VLOOKUP($L48,$L$9:$AB$24,R$6,FALSE))</f>
        <v>3.3454559011999998</v>
      </c>
      <c r="S48" s="127"/>
      <c r="T48" s="127"/>
      <c r="U48" s="127">
        <v>0</v>
      </c>
      <c r="V48" s="127">
        <v>0</v>
      </c>
      <c r="W48" s="127">
        <v>0</v>
      </c>
      <c r="X48" s="127">
        <v>0</v>
      </c>
      <c r="Y48" s="127">
        <v>0</v>
      </c>
      <c r="Z48" s="127">
        <f ca="1">IF($G48="ManTech",(SUM($N48:$Y48)*(VLOOKUP($L48,$L$9:$AB$24,Z$6,FALSE))),(IF(R48=0,((SUM(N48,#REF!))*(VLOOKUP($L48,$L$9:$AB$24,Z$6,FALSE))),(SUM($R48:$R48)*(VLOOKUP($L48,$L$9:$AB$24,Z$6,FALSE))))))</f>
        <v>14.17100915087088</v>
      </c>
      <c r="AA48" s="127">
        <f ca="1">SUM(N48:Z48)</f>
        <v>167.53690905207088</v>
      </c>
      <c r="AB48" s="127">
        <f ca="1">(AA48*(VLOOKUP($L48,$L$9:$AB$24,AB$6,FALSE)))</f>
        <v>13.402952724165671</v>
      </c>
      <c r="AC48" s="127">
        <f ca="1">ROUND(SUM(AA48:AB48),2)</f>
        <v>180.94</v>
      </c>
      <c r="AD48" s="104">
        <v>0</v>
      </c>
      <c r="AE48" s="92">
        <f ca="1">$AC48*$AD48</f>
        <v>0</v>
      </c>
      <c r="AF48" s="134">
        <f ca="1">AC48*$AF$29</f>
        <v>1447.52</v>
      </c>
      <c r="AG48" s="78"/>
      <c r="AH48" s="78"/>
      <c r="AI48" s="78">
        <f ca="1">AA48*AD48</f>
        <v>0</v>
      </c>
      <c r="AJ48" s="78">
        <f ca="1">AC48*AD48</f>
        <v>0</v>
      </c>
      <c r="AK48" s="78">
        <f ca="1">AJ48-AI48</f>
        <v>0</v>
      </c>
      <c r="AL48" s="94">
        <f ca="1">IF(AK48=0,0,ROUND(AK48/AI48,2))</f>
        <v>0</v>
      </c>
      <c r="AM48" s="78"/>
      <c r="AN48" s="78"/>
      <c r="AO48" s="78"/>
      <c r="AP48" s="78"/>
      <c r="AQ48" s="78"/>
      <c r="AR48" s="78"/>
      <c r="AS48" s="78"/>
      <c r="AT48" s="78"/>
      <c r="AU48" s="53"/>
      <c r="AV48" s="52"/>
      <c r="AW48" s="51"/>
      <c r="AZ48" s="46" t="str">
        <f t="shared" ref="AZ48:AZ54" ca="1" si="32">IF((OR((AC48=""),(AC48&gt;0))),"1","0")</f>
        <v>1</v>
      </c>
      <c r="BA48" s="46" t="str">
        <f t="shared" ref="BA48:BA54" ca="1" si="33">IF((OR((AE48=""),(AE48&gt;0))),"1","0")</f>
        <v>0</v>
      </c>
    </row>
    <row r="49" spans="2:53">
      <c r="D49" s="45">
        <f>D48+1</f>
        <v>17</v>
      </c>
      <c r="E49" s="137" t="s">
        <v>168</v>
      </c>
      <c r="F49" s="45"/>
      <c r="G49" s="105" t="s">
        <v>243</v>
      </c>
      <c r="H49" s="45"/>
      <c r="I49" s="136">
        <v>0</v>
      </c>
      <c r="J49" s="135" t="str">
        <f>G49&amp;D49&amp;I49&amp;L49</f>
        <v>Yvan170Govt_Sub</v>
      </c>
      <c r="K49" s="135"/>
      <c r="L49" s="105" t="s">
        <v>119</v>
      </c>
      <c r="M49" s="127">
        <v>148.14407599999998</v>
      </c>
      <c r="N49" s="127">
        <f ca="1">ROUND($M49*(VLOOKUP($L49,$L$9:$AB$24,N$6,FALSE)),2)</f>
        <v>148.13999999999999</v>
      </c>
      <c r="O49" s="127">
        <f ca="1">$N49*(VLOOKUP($L49,$L$9:$AB$24,O$6,FALSE))</f>
        <v>0</v>
      </c>
      <c r="P49" s="127">
        <f ca="1">$N49*(VLOOKUP($L49,$L$9:$AB$24,P$6,FALSE))</f>
        <v>0</v>
      </c>
      <c r="Q49" s="127">
        <f ca="1">($N49+O49+P49)*(VLOOKUP($L49,$L$9:$AB$24,Q$6,FALSE))</f>
        <v>0</v>
      </c>
      <c r="R49" s="127">
        <f ca="1">($N49+$Q49+O49+P49)*(VLOOKUP($L49,$L$9:$AB$24,R$6,FALSE))</f>
        <v>4.4293859999999992</v>
      </c>
      <c r="S49" s="127"/>
      <c r="T49" s="127"/>
      <c r="U49" s="127">
        <v>0</v>
      </c>
      <c r="V49" s="127">
        <v>0</v>
      </c>
      <c r="W49" s="127">
        <v>0</v>
      </c>
      <c r="X49" s="127">
        <v>0</v>
      </c>
      <c r="Y49" s="127">
        <v>0</v>
      </c>
      <c r="Z49" s="127">
        <f ca="1">IF($G49="ManTech",(SUM($N49:$Y49)*(VLOOKUP($L49,$L$9:$AB$24,Z$6,FALSE))),(IF(R49=0,((SUM(N49,#REF!))*(VLOOKUP($L49,$L$9:$AB$24,Z$6,FALSE))),(SUM($R49:$R49)*(VLOOKUP($L49,$L$9:$AB$24,Z$6,FALSE))))))</f>
        <v>0.40927526639999989</v>
      </c>
      <c r="AA49" s="127">
        <f ca="1">SUM(N49:Z49)</f>
        <v>152.97866126639997</v>
      </c>
      <c r="AB49" s="127">
        <f ca="1">(AA49*(VLOOKUP($L49,$L$9:$AB$24,AB$6,FALSE)))</f>
        <v>12.238292901311997</v>
      </c>
      <c r="AC49" s="127">
        <f ca="1">ROUND(SUM(AA49:AB49),2)</f>
        <v>165.22</v>
      </c>
      <c r="AD49" s="104">
        <v>0</v>
      </c>
      <c r="AE49" s="92">
        <f ca="1">$AC49*$AD49</f>
        <v>0</v>
      </c>
      <c r="AF49" s="134">
        <f ca="1">AC49*$AF$29</f>
        <v>1321.76</v>
      </c>
      <c r="AG49" s="78"/>
      <c r="AH49" s="78"/>
      <c r="AI49" s="78">
        <f ca="1">AA49*AD49</f>
        <v>0</v>
      </c>
      <c r="AJ49" s="78">
        <f ca="1">AC49*AD49</f>
        <v>0</v>
      </c>
      <c r="AK49" s="78">
        <f ca="1">AJ49-AI49</f>
        <v>0</v>
      </c>
      <c r="AL49" s="94">
        <f ca="1">IF(AK49=0,0,ROUND(AK49/AI49,2))</f>
        <v>0</v>
      </c>
      <c r="AM49" s="78"/>
      <c r="AN49" s="78"/>
      <c r="AO49" s="78"/>
      <c r="AP49" s="78"/>
      <c r="AQ49" s="78"/>
      <c r="AR49" s="78"/>
      <c r="AS49" s="78"/>
      <c r="AT49" s="78"/>
      <c r="AU49" s="53"/>
      <c r="AV49" s="52"/>
      <c r="AW49" s="51"/>
      <c r="AZ49" s="46" t="str">
        <f t="shared" ca="1" si="32"/>
        <v>1</v>
      </c>
      <c r="BA49" s="46" t="str">
        <f t="shared" ca="1" si="33"/>
        <v>0</v>
      </c>
    </row>
    <row r="50" spans="2:53">
      <c r="E50" s="133"/>
      <c r="F50" s="49"/>
      <c r="G50" s="49"/>
      <c r="H50" s="49"/>
      <c r="I50" s="132"/>
      <c r="J50" s="131"/>
      <c r="K50" s="131"/>
      <c r="L50" s="130"/>
      <c r="M50" s="129"/>
      <c r="N50" s="129"/>
      <c r="O50" s="129"/>
      <c r="P50" s="129"/>
      <c r="Q50" s="129"/>
      <c r="R50" s="129"/>
      <c r="S50" s="129"/>
      <c r="T50" s="129"/>
      <c r="U50" s="129"/>
      <c r="V50" s="129"/>
      <c r="W50" s="129"/>
      <c r="X50" s="129"/>
      <c r="Y50" s="129"/>
      <c r="Z50" s="129"/>
      <c r="AA50" s="129"/>
      <c r="AB50" s="129"/>
      <c r="AC50" s="129"/>
      <c r="AD50" s="128"/>
      <c r="AE50" s="100"/>
      <c r="AF50" s="101"/>
      <c r="AG50" s="99"/>
      <c r="AH50" s="99"/>
      <c r="AI50" s="99"/>
      <c r="AJ50" s="99"/>
      <c r="AK50" s="99"/>
      <c r="AL50" s="99"/>
      <c r="AM50" s="99"/>
      <c r="AN50" s="99"/>
      <c r="AO50" s="99"/>
      <c r="AP50" s="99"/>
      <c r="AQ50" s="99"/>
      <c r="AR50" s="99"/>
      <c r="AS50" s="99"/>
      <c r="AT50" s="99"/>
      <c r="AU50" s="99"/>
      <c r="AV50" s="98"/>
      <c r="AW50" s="51"/>
      <c r="AZ50" s="46" t="str">
        <f t="shared" si="32"/>
        <v>1</v>
      </c>
      <c r="BA50" s="46" t="str">
        <f t="shared" si="33"/>
        <v>1</v>
      </c>
    </row>
    <row r="51" spans="2:53">
      <c r="E51" s="91"/>
      <c r="F51" s="45"/>
      <c r="G51" s="45"/>
      <c r="H51" s="45"/>
      <c r="I51" s="45"/>
      <c r="J51" s="45"/>
      <c r="K51" s="45"/>
      <c r="L51" s="45"/>
      <c r="M51" s="127"/>
      <c r="N51" s="127"/>
      <c r="O51" s="127"/>
      <c r="P51" s="127"/>
      <c r="Q51" s="127"/>
      <c r="R51" s="127"/>
      <c r="S51" s="127"/>
      <c r="T51" s="127"/>
      <c r="U51" s="127"/>
      <c r="V51" s="127"/>
      <c r="W51" s="127"/>
      <c r="X51" s="127"/>
      <c r="Y51" s="127"/>
      <c r="Z51" s="127"/>
      <c r="AA51" s="127"/>
      <c r="AB51" s="127"/>
      <c r="AC51" s="127"/>
      <c r="AD51" s="127"/>
      <c r="AE51" s="127"/>
      <c r="AF51" s="90"/>
      <c r="AG51" s="78"/>
      <c r="AH51" s="78"/>
      <c r="AI51" s="78"/>
      <c r="AJ51" s="78"/>
      <c r="AK51" s="78"/>
      <c r="AL51" s="78"/>
      <c r="AM51" s="78"/>
      <c r="AN51" s="78"/>
      <c r="AO51" s="78"/>
      <c r="AP51" s="78"/>
      <c r="AQ51" s="78"/>
      <c r="AR51" s="78"/>
      <c r="AS51" s="78"/>
      <c r="AT51" s="78"/>
      <c r="AU51" s="53"/>
      <c r="AV51" s="52"/>
      <c r="AW51" s="51"/>
      <c r="AZ51" s="46" t="str">
        <f t="shared" si="32"/>
        <v>1</v>
      </c>
      <c r="BA51" s="46" t="str">
        <f t="shared" si="33"/>
        <v>1</v>
      </c>
    </row>
    <row r="52" spans="2:53">
      <c r="E52" s="91"/>
      <c r="F52" s="45"/>
      <c r="G52" s="45"/>
      <c r="H52" s="45"/>
      <c r="I52" s="45"/>
      <c r="J52" s="45"/>
      <c r="K52" s="45"/>
      <c r="L52" s="45"/>
      <c r="M52" s="45"/>
      <c r="N52" s="45"/>
      <c r="O52" s="45"/>
      <c r="P52" s="45"/>
      <c r="Q52" s="45"/>
      <c r="R52" s="45"/>
      <c r="S52" s="45"/>
      <c r="T52" s="45"/>
      <c r="U52" s="45"/>
      <c r="V52" s="45"/>
      <c r="W52" s="45"/>
      <c r="X52" s="45"/>
      <c r="Y52" s="45"/>
      <c r="Z52" s="45"/>
      <c r="AA52" s="45"/>
      <c r="AB52" s="45"/>
      <c r="AC52" s="97" t="s">
        <v>118</v>
      </c>
      <c r="AD52" s="126">
        <f>SUBTOTAL(9,AD$31:AD$51)</f>
        <v>532</v>
      </c>
      <c r="AE52" s="125">
        <f ca="1">SUBTOTAL(9,AE$31:AE$51)</f>
        <v>47848.639999999999</v>
      </c>
      <c r="AF52" s="90"/>
      <c r="AG52" s="78"/>
      <c r="AH52" s="78"/>
      <c r="AI52" s="78"/>
      <c r="AJ52" s="78"/>
      <c r="AK52" s="78"/>
      <c r="AL52" s="78"/>
      <c r="AM52" s="78"/>
      <c r="AN52" s="78"/>
      <c r="AO52" s="78"/>
      <c r="AP52" s="78"/>
      <c r="AQ52" s="78"/>
      <c r="AR52" s="78"/>
      <c r="AS52" s="78"/>
      <c r="AT52" s="78"/>
      <c r="AU52" s="53"/>
      <c r="AV52" s="52"/>
      <c r="AW52" s="51"/>
      <c r="AZ52" s="46" t="str">
        <f t="shared" si="32"/>
        <v>1</v>
      </c>
      <c r="BA52" s="46" t="str">
        <f t="shared" ca="1" si="33"/>
        <v>1</v>
      </c>
    </row>
    <row r="53" spans="2:53" ht="13.5" thickBot="1">
      <c r="B53" s="45" t="s">
        <v>117</v>
      </c>
      <c r="E53" s="91"/>
      <c r="F53" s="45"/>
      <c r="G53" s="45"/>
      <c r="H53" s="45"/>
      <c r="I53" s="45"/>
      <c r="J53" s="45"/>
      <c r="K53" s="45"/>
      <c r="L53" s="45"/>
      <c r="M53" s="45"/>
      <c r="N53" s="45"/>
      <c r="O53" s="45"/>
      <c r="P53" s="45"/>
      <c r="Q53" s="45"/>
      <c r="R53" s="45"/>
      <c r="S53" s="45"/>
      <c r="T53" s="45"/>
      <c r="U53" s="45"/>
      <c r="V53" s="45"/>
      <c r="W53" s="45"/>
      <c r="X53" s="45"/>
      <c r="Y53" s="45"/>
      <c r="Z53" s="45"/>
      <c r="AA53" s="45"/>
      <c r="AB53" s="45"/>
      <c r="AC53" s="97"/>
      <c r="AD53" s="124"/>
      <c r="AE53" s="53"/>
      <c r="AF53" s="90"/>
      <c r="AR53" s="89"/>
      <c r="AS53" s="88"/>
      <c r="AZ53" s="46" t="str">
        <f t="shared" si="32"/>
        <v>1</v>
      </c>
      <c r="BA53" s="46" t="str">
        <f t="shared" si="33"/>
        <v>1</v>
      </c>
    </row>
    <row r="54" spans="2:53" s="114" customFormat="1" ht="16.5" thickBot="1">
      <c r="B54" s="123">
        <v>1.4735</v>
      </c>
      <c r="E54" s="122" t="s">
        <v>116</v>
      </c>
      <c r="F54" s="119"/>
      <c r="G54" s="119"/>
      <c r="H54" s="121"/>
      <c r="I54" s="119"/>
      <c r="J54" s="120"/>
      <c r="K54" s="120"/>
      <c r="L54" s="119"/>
      <c r="M54" s="118"/>
      <c r="N54" s="118"/>
      <c r="O54" s="118"/>
      <c r="P54" s="118"/>
      <c r="Q54" s="118"/>
      <c r="R54" s="118"/>
      <c r="S54" s="118"/>
      <c r="T54" s="118"/>
      <c r="U54" s="118"/>
      <c r="V54" s="118"/>
      <c r="W54" s="118"/>
      <c r="X54" s="118"/>
      <c r="Y54" s="118"/>
      <c r="Z54" s="118"/>
      <c r="AA54" s="118"/>
      <c r="AB54" s="118"/>
      <c r="AC54" s="118"/>
      <c r="AD54" s="118"/>
      <c r="AE54" s="118"/>
      <c r="AF54" s="117"/>
      <c r="AG54" s="116"/>
      <c r="AH54" s="116"/>
      <c r="AI54" s="116"/>
      <c r="AJ54" s="116"/>
      <c r="AK54" s="116"/>
      <c r="AL54" s="116"/>
      <c r="AM54" s="116"/>
      <c r="AN54" s="116"/>
      <c r="AO54" s="116"/>
      <c r="AP54" s="116"/>
      <c r="AQ54" s="116"/>
      <c r="AR54" s="116"/>
      <c r="AS54" s="116"/>
      <c r="AT54" s="116"/>
      <c r="AU54" s="116"/>
      <c r="AV54" s="116"/>
      <c r="AW54" s="115"/>
      <c r="AZ54" s="46" t="str">
        <f t="shared" si="32"/>
        <v>1</v>
      </c>
      <c r="BA54" s="46" t="str">
        <f t="shared" si="33"/>
        <v>1</v>
      </c>
    </row>
    <row r="55" spans="2:53" ht="15.75">
      <c r="E55" s="113" t="s">
        <v>115</v>
      </c>
      <c r="F55" s="110"/>
      <c r="G55" s="110"/>
      <c r="H55" s="112"/>
      <c r="I55" s="110"/>
      <c r="J55" s="111"/>
      <c r="K55" s="111"/>
      <c r="L55" s="110"/>
      <c r="M55" s="109"/>
      <c r="N55" s="109"/>
      <c r="O55" s="109"/>
      <c r="P55" s="109"/>
      <c r="Q55" s="109"/>
      <c r="R55" s="109"/>
      <c r="S55" s="109"/>
      <c r="T55" s="109"/>
      <c r="U55" s="109"/>
      <c r="V55" s="109"/>
      <c r="W55" s="109"/>
      <c r="X55" s="109"/>
      <c r="Y55" s="109"/>
      <c r="Z55" s="109"/>
      <c r="AA55" s="109"/>
      <c r="AB55" s="109"/>
      <c r="AC55" s="109"/>
      <c r="AD55" s="109"/>
      <c r="AE55" s="109"/>
      <c r="AF55" s="108"/>
      <c r="AG55" s="93"/>
      <c r="AH55" s="93"/>
      <c r="AI55" s="78"/>
      <c r="AJ55" s="78"/>
      <c r="AK55" s="78"/>
      <c r="AL55" s="94"/>
      <c r="AM55" s="93"/>
      <c r="AN55" s="93"/>
      <c r="AO55" s="93"/>
      <c r="AP55" s="93"/>
      <c r="AQ55" s="93"/>
      <c r="AR55" s="78"/>
      <c r="AS55" s="93"/>
      <c r="AT55" s="78"/>
      <c r="AU55" s="53"/>
      <c r="AV55" s="52"/>
      <c r="AW55" s="51"/>
    </row>
    <row r="56" spans="2:53">
      <c r="E56" s="106" t="s">
        <v>114</v>
      </c>
      <c r="F56" s="45"/>
      <c r="G56" s="45"/>
      <c r="H56" s="45"/>
      <c r="I56" s="45"/>
      <c r="J56" s="45"/>
      <c r="K56" s="45"/>
      <c r="L56" s="105" t="s">
        <v>110</v>
      </c>
      <c r="M56" s="92">
        <v>499.95</v>
      </c>
      <c r="N56" s="92">
        <f ca="1">ROUND($M56*(VLOOKUP($L56,$L$9:$AB$24,N$6,FALSE)),2)</f>
        <v>499.95</v>
      </c>
      <c r="O56" s="92">
        <f t="shared" ref="O56:Q58" ca="1" si="34">ROUND($N56*(VLOOKUP($L56,$L$9:$AB$24,O$6,FALSE)),2)</f>
        <v>0</v>
      </c>
      <c r="P56" s="92">
        <f t="shared" ca="1" si="34"/>
        <v>0</v>
      </c>
      <c r="Q56" s="92">
        <f t="shared" ca="1" si="34"/>
        <v>0</v>
      </c>
      <c r="R56" s="92">
        <f ca="1">ROUND(($N56+$Q56)*(VLOOKUP($L56,$L$9:$AB$24,R$6,FALSE)),2)</f>
        <v>0</v>
      </c>
      <c r="S56" s="92"/>
      <c r="T56" s="92"/>
      <c r="U56" s="92">
        <f t="shared" ref="U56:Y58" ca="1" si="35">ROUND($N56*(VLOOKUP($L56,$L$9:$AB$24,U$6,FALSE)),2)</f>
        <v>0</v>
      </c>
      <c r="V56" s="92">
        <f t="shared" ca="1" si="35"/>
        <v>0</v>
      </c>
      <c r="W56" s="92">
        <f t="shared" ca="1" si="35"/>
        <v>0</v>
      </c>
      <c r="X56" s="92">
        <f t="shared" ca="1" si="35"/>
        <v>0</v>
      </c>
      <c r="Y56" s="92">
        <f t="shared" ca="1" si="35"/>
        <v>0</v>
      </c>
      <c r="Z56" s="92">
        <f ca="1">IF($R56=0,ROUND(SUM($N56:$R56)*(VLOOKUP($L56,$L$9:$AB$24,Z$6,FALSE)),2),ROUND(SUM($R56:$R56)*(VLOOKUP($L56,$L$9:$AB$24,Z$6,FALSE)),2))</f>
        <v>46.2</v>
      </c>
      <c r="AA56" s="92">
        <f ca="1">SUM(N56:Z56)</f>
        <v>546.15</v>
      </c>
      <c r="AB56" s="92">
        <f ca="1">ROUND(AA56*(VLOOKUP($L56,$L$9:$AB$24,AB$6,FALSE)),2)</f>
        <v>43.69</v>
      </c>
      <c r="AC56" s="92">
        <f ca="1">SUM(AA56:AB56)</f>
        <v>589.83999999999992</v>
      </c>
      <c r="AD56" s="104">
        <v>1</v>
      </c>
      <c r="AE56" s="92">
        <f ca="1">$AC56*$AD56</f>
        <v>589.83999999999992</v>
      </c>
      <c r="AF56" s="90"/>
      <c r="AG56" s="93"/>
      <c r="AH56" s="93"/>
      <c r="AI56" s="78">
        <f ca="1">AA56*AD56</f>
        <v>546.15</v>
      </c>
      <c r="AJ56" s="78">
        <f ca="1">AC56*AD56</f>
        <v>589.83999999999992</v>
      </c>
      <c r="AK56" s="78">
        <f ca="1">AJ56-AI56</f>
        <v>43.689999999999941</v>
      </c>
      <c r="AL56" s="94">
        <f ca="1">IF(AK56=0,0,ROUND(AK56/AI56,2))</f>
        <v>0.08</v>
      </c>
      <c r="AM56" s="93"/>
      <c r="AN56" s="93"/>
      <c r="AO56" s="93"/>
      <c r="AP56" s="93"/>
      <c r="AQ56" s="93"/>
      <c r="AR56" s="78"/>
      <c r="AS56" s="93"/>
      <c r="AT56" s="78"/>
      <c r="AU56" s="53"/>
      <c r="AV56" s="52"/>
      <c r="AW56" s="51"/>
      <c r="AZ56" s="46" t="str">
        <f ca="1">IF((OR((AC56=""),(AC56&gt;0))),"1","0")</f>
        <v>1</v>
      </c>
      <c r="BA56" s="46" t="str">
        <f ca="1">IF((OR((AE56=""),(AE56&gt;0))),"1","0")</f>
        <v>1</v>
      </c>
    </row>
    <row r="57" spans="2:53">
      <c r="E57" s="106" t="s">
        <v>113</v>
      </c>
      <c r="F57" s="45"/>
      <c r="G57" s="45"/>
      <c r="H57" s="45"/>
      <c r="I57" s="45"/>
      <c r="J57" s="45"/>
      <c r="K57" s="45"/>
      <c r="L57" s="105" t="s">
        <v>110</v>
      </c>
      <c r="M57" s="92">
        <v>359</v>
      </c>
      <c r="N57" s="92">
        <f ca="1">ROUND($M57*(VLOOKUP($L57,$L$9:$AB$24,N$6,FALSE)),2)</f>
        <v>359</v>
      </c>
      <c r="O57" s="92">
        <f t="shared" ca="1" si="34"/>
        <v>0</v>
      </c>
      <c r="P57" s="92">
        <f t="shared" ca="1" si="34"/>
        <v>0</v>
      </c>
      <c r="Q57" s="92">
        <f t="shared" ca="1" si="34"/>
        <v>0</v>
      </c>
      <c r="R57" s="92">
        <f ca="1">ROUND(($N57+$Q57)*(VLOOKUP($L57,$L$9:$AB$24,R$6,FALSE)),2)</f>
        <v>0</v>
      </c>
      <c r="S57" s="92"/>
      <c r="T57" s="92"/>
      <c r="U57" s="92">
        <f t="shared" ca="1" si="35"/>
        <v>0</v>
      </c>
      <c r="V57" s="92">
        <f t="shared" ca="1" si="35"/>
        <v>0</v>
      </c>
      <c r="W57" s="92">
        <f t="shared" ca="1" si="35"/>
        <v>0</v>
      </c>
      <c r="X57" s="92">
        <f t="shared" ca="1" si="35"/>
        <v>0</v>
      </c>
      <c r="Y57" s="92">
        <f t="shared" ca="1" si="35"/>
        <v>0</v>
      </c>
      <c r="Z57" s="92">
        <f ca="1">IF($R57=0,ROUND(SUM($N57:$R57)*(VLOOKUP($L57,$L$9:$AB$24,Z$6,FALSE)),2),ROUND(SUM($R57:$R57)*(VLOOKUP($L57,$L$9:$AB$24,Z$6,FALSE)),2))</f>
        <v>33.17</v>
      </c>
      <c r="AA57" s="92">
        <f ca="1">SUM(N57:Z57)</f>
        <v>392.17</v>
      </c>
      <c r="AB57" s="92">
        <f ca="1">ROUND(AA57*(VLOOKUP($L57,$L$9:$AB$24,AB$6,FALSE)),2)</f>
        <v>31.37</v>
      </c>
      <c r="AC57" s="92">
        <f ca="1">SUM(AA57:AB57)</f>
        <v>423.54</v>
      </c>
      <c r="AD57" s="104">
        <v>1</v>
      </c>
      <c r="AE57" s="92">
        <f ca="1">$AC57*$AD57</f>
        <v>423.54</v>
      </c>
      <c r="AF57" s="90"/>
      <c r="AG57" s="93"/>
      <c r="AH57" s="93"/>
      <c r="AI57" s="78">
        <f ca="1">AA57*AD57</f>
        <v>392.17</v>
      </c>
      <c r="AJ57" s="78">
        <f ca="1">AC57*AD57</f>
        <v>423.54</v>
      </c>
      <c r="AK57" s="78">
        <f ca="1">AJ57-AI57</f>
        <v>31.370000000000005</v>
      </c>
      <c r="AL57" s="94">
        <f ca="1">IF(AK57=0,0,ROUND(AK57/AI57,2))</f>
        <v>0.08</v>
      </c>
      <c r="AM57" s="93"/>
      <c r="AN57" s="93"/>
      <c r="AO57" s="93"/>
      <c r="AP57" s="93"/>
      <c r="AQ57" s="93"/>
      <c r="AR57" s="78"/>
      <c r="AS57" s="93"/>
      <c r="AT57" s="78"/>
      <c r="AU57" s="53"/>
      <c r="AV57" s="52"/>
      <c r="AW57" s="51"/>
      <c r="AZ57" s="46" t="str">
        <f ca="1">IF((OR((AC57=""),(AC57&gt;0))),"1","0")</f>
        <v>1</v>
      </c>
      <c r="BA57" s="46" t="str">
        <f ca="1">IF((OR((AE57=""),(AE57&gt;0))),"1","0")</f>
        <v>1</v>
      </c>
    </row>
    <row r="58" spans="2:53">
      <c r="E58" s="106" t="s">
        <v>112</v>
      </c>
      <c r="F58" s="45"/>
      <c r="G58" s="45"/>
      <c r="H58" s="45"/>
      <c r="I58" s="45"/>
      <c r="J58" s="45"/>
      <c r="K58" s="45"/>
      <c r="L58" s="105" t="s">
        <v>110</v>
      </c>
      <c r="M58" s="92">
        <v>199.95</v>
      </c>
      <c r="N58" s="92">
        <f ca="1">ROUND($M58*(VLOOKUP($L58,$L$9:$AB$24,N$6,FALSE)),2)</f>
        <v>199.95</v>
      </c>
      <c r="O58" s="92">
        <f t="shared" ca="1" si="34"/>
        <v>0</v>
      </c>
      <c r="P58" s="92">
        <f t="shared" ca="1" si="34"/>
        <v>0</v>
      </c>
      <c r="Q58" s="92">
        <f t="shared" ca="1" si="34"/>
        <v>0</v>
      </c>
      <c r="R58" s="92">
        <f ca="1">ROUND(($N58+$Q58)*(VLOOKUP($L58,$L$9:$AB$24,R$6,FALSE)),2)</f>
        <v>0</v>
      </c>
      <c r="S58" s="92"/>
      <c r="T58" s="92"/>
      <c r="U58" s="92">
        <f t="shared" ca="1" si="35"/>
        <v>0</v>
      </c>
      <c r="V58" s="92">
        <f t="shared" ca="1" si="35"/>
        <v>0</v>
      </c>
      <c r="W58" s="92">
        <f t="shared" ca="1" si="35"/>
        <v>0</v>
      </c>
      <c r="X58" s="92">
        <f t="shared" ca="1" si="35"/>
        <v>0</v>
      </c>
      <c r="Y58" s="92">
        <f t="shared" ca="1" si="35"/>
        <v>0</v>
      </c>
      <c r="Z58" s="92">
        <f ca="1">IF($R58=0,ROUND(SUM($N58:$R58)*(VLOOKUP($L58,$L$9:$AB$24,Z$6,FALSE)),2),ROUND(SUM($R58:$R58)*(VLOOKUP($L58,$L$9:$AB$24,Z$6,FALSE)),2))</f>
        <v>18.48</v>
      </c>
      <c r="AA58" s="92">
        <f ca="1">SUM(N58:Z58)</f>
        <v>218.42999999999998</v>
      </c>
      <c r="AB58" s="92">
        <f ca="1">ROUND(AA58*(VLOOKUP($L58,$L$9:$AB$24,AB$6,FALSE)),2)</f>
        <v>17.47</v>
      </c>
      <c r="AC58" s="92">
        <f ca="1">SUM(AA58:AB58)</f>
        <v>235.89999999999998</v>
      </c>
      <c r="AD58" s="104">
        <v>1</v>
      </c>
      <c r="AE58" s="92">
        <f ca="1">$AC58*$AD58</f>
        <v>235.89999999999998</v>
      </c>
      <c r="AF58" s="90"/>
      <c r="AG58" s="93"/>
      <c r="AH58" s="93"/>
      <c r="AI58" s="78">
        <f ca="1">AA58*AD58</f>
        <v>218.42999999999998</v>
      </c>
      <c r="AJ58" s="78">
        <f ca="1">AC58*AD58</f>
        <v>235.89999999999998</v>
      </c>
      <c r="AK58" s="78">
        <f ca="1">AJ58-AI58</f>
        <v>17.47</v>
      </c>
      <c r="AL58" s="94">
        <f ca="1">IF(AK58=0,0,ROUND(AK58/AI58,2))</f>
        <v>0.08</v>
      </c>
      <c r="AM58" s="93"/>
      <c r="AN58" s="93"/>
      <c r="AO58" s="93"/>
      <c r="AP58" s="93"/>
      <c r="AQ58" s="93"/>
      <c r="AR58" s="78"/>
      <c r="AS58" s="93"/>
      <c r="AT58" s="78"/>
      <c r="AU58" s="53"/>
      <c r="AV58" s="52"/>
      <c r="AW58" s="51"/>
    </row>
    <row r="59" spans="2:53">
      <c r="E59" s="106"/>
      <c r="F59" s="45"/>
      <c r="G59" s="45"/>
      <c r="H59" s="45"/>
      <c r="I59" s="45"/>
      <c r="J59" s="45"/>
      <c r="K59" s="45"/>
      <c r="L59" s="105"/>
      <c r="M59" s="92"/>
      <c r="N59" s="92"/>
      <c r="O59" s="92"/>
      <c r="P59" s="92"/>
      <c r="Q59" s="92"/>
      <c r="R59" s="92"/>
      <c r="S59" s="92"/>
      <c r="T59" s="92"/>
      <c r="U59" s="92"/>
      <c r="V59" s="92"/>
      <c r="W59" s="92"/>
      <c r="X59" s="92"/>
      <c r="Y59" s="92"/>
      <c r="Z59" s="92"/>
      <c r="AA59" s="92"/>
      <c r="AB59" s="92"/>
      <c r="AC59" s="92" t="s">
        <v>109</v>
      </c>
      <c r="AD59" s="104"/>
      <c r="AE59" s="92">
        <f ca="1">SUBTOTAL(9,AE56:AE58)</f>
        <v>1249.2799999999997</v>
      </c>
      <c r="AF59" s="90"/>
      <c r="AG59" s="93"/>
      <c r="AH59" s="93"/>
      <c r="AI59" s="78"/>
      <c r="AJ59" s="78"/>
      <c r="AK59" s="78"/>
      <c r="AL59" s="94"/>
      <c r="AM59" s="93"/>
      <c r="AN59" s="93"/>
      <c r="AO59" s="93"/>
      <c r="AP59" s="93"/>
      <c r="AQ59" s="93"/>
      <c r="AR59" s="78"/>
      <c r="AS59" s="93"/>
      <c r="AT59" s="78"/>
      <c r="AU59" s="53"/>
      <c r="AV59" s="52"/>
      <c r="AW59" s="51"/>
    </row>
    <row r="60" spans="2:53">
      <c r="E60" s="103"/>
      <c r="F60" s="49"/>
      <c r="G60" s="49"/>
      <c r="H60" s="49"/>
      <c r="I60" s="49"/>
      <c r="J60" s="49"/>
      <c r="K60" s="49"/>
      <c r="L60" s="49"/>
      <c r="M60" s="100"/>
      <c r="N60" s="100"/>
      <c r="O60" s="100"/>
      <c r="P60" s="100"/>
      <c r="Q60" s="100"/>
      <c r="R60" s="100"/>
      <c r="S60" s="100"/>
      <c r="T60" s="100"/>
      <c r="U60" s="100"/>
      <c r="V60" s="100"/>
      <c r="W60" s="100"/>
      <c r="X60" s="100"/>
      <c r="Y60" s="100"/>
      <c r="Z60" s="100"/>
      <c r="AA60" s="100"/>
      <c r="AB60" s="100"/>
      <c r="AC60" s="100"/>
      <c r="AD60" s="102"/>
      <c r="AE60" s="100"/>
      <c r="AF60" s="101"/>
      <c r="AG60" s="100"/>
      <c r="AH60" s="100"/>
      <c r="AI60" s="100"/>
      <c r="AJ60" s="100"/>
      <c r="AK60" s="100"/>
      <c r="AL60" s="100"/>
      <c r="AM60" s="100"/>
      <c r="AN60" s="100"/>
      <c r="AO60" s="100"/>
      <c r="AP60" s="100"/>
      <c r="AQ60" s="100"/>
      <c r="AR60" s="99"/>
      <c r="AS60" s="100"/>
      <c r="AT60" s="99"/>
      <c r="AU60" s="99"/>
      <c r="AV60" s="98"/>
      <c r="AW60" s="51"/>
      <c r="AZ60" s="46" t="str">
        <f t="shared" ref="AZ60:AZ91" si="36">IF((OR((AC60=""),(AC60&gt;0))),"1","0")</f>
        <v>1</v>
      </c>
      <c r="BA60" s="46" t="str">
        <f t="shared" ref="BA60:BA91" si="37">IF((OR((AE60=""),(AE60&gt;0))),"1","0")</f>
        <v>1</v>
      </c>
    </row>
    <row r="61" spans="2:53">
      <c r="E61" s="91"/>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92"/>
      <c r="AF61" s="90"/>
      <c r="AZ61" s="46" t="str">
        <f t="shared" si="36"/>
        <v>1</v>
      </c>
      <c r="BA61" s="46" t="str">
        <f t="shared" si="37"/>
        <v>1</v>
      </c>
    </row>
    <row r="62" spans="2:53">
      <c r="E62" s="91"/>
      <c r="F62" s="45"/>
      <c r="G62" s="45"/>
      <c r="H62" s="45"/>
      <c r="I62" s="45"/>
      <c r="J62" s="45"/>
      <c r="K62" s="45"/>
      <c r="L62" s="45"/>
      <c r="M62" s="45"/>
      <c r="N62" s="45"/>
      <c r="O62" s="45"/>
      <c r="P62" s="45"/>
      <c r="Q62" s="45"/>
      <c r="R62" s="45"/>
      <c r="S62" s="45"/>
      <c r="T62" s="45"/>
      <c r="U62" s="45"/>
      <c r="V62" s="45"/>
      <c r="W62" s="45"/>
      <c r="X62" s="45"/>
      <c r="Y62" s="45"/>
      <c r="Z62" s="45"/>
      <c r="AA62" s="45"/>
      <c r="AB62" s="45"/>
      <c r="AC62" s="97" t="s">
        <v>108</v>
      </c>
      <c r="AD62" s="96"/>
      <c r="AE62" s="95">
        <f ca="1">SUBTOTAL(9,AE$54:AE$61)</f>
        <v>1249.2799999999997</v>
      </c>
      <c r="AF62" s="90"/>
      <c r="AG62" s="93"/>
      <c r="AH62" s="93"/>
      <c r="AI62" s="93">
        <f ca="1">SUM(AI32:AI58)</f>
        <v>45460.743059551241</v>
      </c>
      <c r="AJ62" s="93">
        <f ca="1">SUM(AJ32:AJ58)</f>
        <v>49097.919999999998</v>
      </c>
      <c r="AK62" s="93">
        <f ca="1">SUM(AK32:AK58)</f>
        <v>3637.1769404487636</v>
      </c>
      <c r="AL62" s="94">
        <f ca="1">IF(AK62=0,0,ROUND(AK62/AI62,2))</f>
        <v>0.08</v>
      </c>
      <c r="AM62" s="93"/>
      <c r="AN62" s="93"/>
      <c r="AO62" s="93"/>
      <c r="AP62" s="93"/>
      <c r="AQ62" s="93"/>
      <c r="AR62" s="93"/>
      <c r="AS62" s="93"/>
      <c r="AT62" s="93"/>
      <c r="AU62" s="92"/>
      <c r="AV62" s="52"/>
      <c r="AW62" s="51"/>
      <c r="AZ62" s="46" t="str">
        <f t="shared" si="36"/>
        <v>1</v>
      </c>
      <c r="BA62" s="46" t="str">
        <f t="shared" ca="1" si="37"/>
        <v>1</v>
      </c>
    </row>
    <row r="63" spans="2:53">
      <c r="E63" s="91"/>
      <c r="F63" s="45"/>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90"/>
      <c r="AR63" s="89"/>
      <c r="AS63" s="88"/>
      <c r="AZ63" s="46" t="str">
        <f t="shared" si="36"/>
        <v>1</v>
      </c>
      <c r="BA63" s="46" t="str">
        <f t="shared" si="37"/>
        <v>1</v>
      </c>
    </row>
    <row r="64" spans="2:53">
      <c r="E64" s="87"/>
      <c r="F64" s="85"/>
      <c r="G64" s="85"/>
      <c r="H64" s="85"/>
      <c r="I64" s="85"/>
      <c r="J64" s="85"/>
      <c r="K64" s="85"/>
      <c r="L64" s="85"/>
      <c r="M64" s="85"/>
      <c r="N64" s="85"/>
      <c r="O64" s="85"/>
      <c r="P64" s="85"/>
      <c r="Q64" s="85"/>
      <c r="R64" s="85"/>
      <c r="S64" s="85"/>
      <c r="T64" s="85"/>
      <c r="U64" s="85"/>
      <c r="V64" s="85"/>
      <c r="W64" s="85"/>
      <c r="X64" s="85"/>
      <c r="Y64" s="85"/>
      <c r="Z64" s="85"/>
      <c r="AA64" s="85"/>
      <c r="AB64" s="85"/>
      <c r="AC64" s="85"/>
      <c r="AD64" s="85"/>
      <c r="AE64" s="85"/>
      <c r="AF64" s="86"/>
      <c r="AG64" s="85"/>
      <c r="AH64" s="85"/>
      <c r="AI64" s="85"/>
      <c r="AJ64" s="85"/>
      <c r="AK64" s="85"/>
      <c r="AL64" s="85"/>
      <c r="AM64" s="85"/>
      <c r="AN64" s="85"/>
      <c r="AO64" s="85"/>
      <c r="AP64" s="85"/>
      <c r="AQ64" s="85"/>
      <c r="AR64" s="85"/>
      <c r="AS64" s="85"/>
      <c r="AT64" s="85"/>
      <c r="AV64" s="85"/>
      <c r="AZ64" s="46" t="str">
        <f t="shared" si="36"/>
        <v>1</v>
      </c>
      <c r="BA64" s="46" t="str">
        <f t="shared" si="37"/>
        <v>1</v>
      </c>
    </row>
    <row r="65" spans="5:53" ht="13.5" thickBot="1">
      <c r="E65" s="84"/>
      <c r="F65" s="83"/>
      <c r="G65" s="83"/>
      <c r="H65" s="83"/>
      <c r="I65" s="83"/>
      <c r="J65" s="83"/>
      <c r="K65" s="83"/>
      <c r="L65" s="83"/>
      <c r="M65" s="83"/>
      <c r="N65" s="83"/>
      <c r="O65" s="83"/>
      <c r="P65" s="83"/>
      <c r="Q65" s="83"/>
      <c r="R65" s="83"/>
      <c r="S65" s="83"/>
      <c r="T65" s="83"/>
      <c r="U65" s="83"/>
      <c r="V65" s="83"/>
      <c r="W65" s="83"/>
      <c r="X65" s="83"/>
      <c r="Y65" s="83"/>
      <c r="Z65" s="83"/>
      <c r="AA65" s="83"/>
      <c r="AB65" s="83"/>
      <c r="AC65" s="82" t="s">
        <v>107</v>
      </c>
      <c r="AD65" s="81">
        <f>AD52</f>
        <v>532</v>
      </c>
      <c r="AE65" s="80">
        <f ca="1">SUBTOTAL(9,AE$31:AE$64)</f>
        <v>49097.919999999998</v>
      </c>
      <c r="AF65" s="79"/>
      <c r="AG65" s="78"/>
      <c r="AH65" s="78"/>
      <c r="AI65" s="78"/>
      <c r="AJ65" s="78"/>
      <c r="AK65" s="78"/>
      <c r="AL65" s="78"/>
      <c r="AM65" s="78"/>
      <c r="AN65" s="78"/>
      <c r="AO65" s="78"/>
      <c r="AP65" s="78"/>
      <c r="AQ65" s="78"/>
      <c r="AR65" s="78"/>
      <c r="AS65" s="78"/>
      <c r="AT65" s="78"/>
      <c r="AU65" s="53"/>
      <c r="AV65" s="52"/>
      <c r="AW65" s="51"/>
      <c r="AZ65" s="46" t="str">
        <f t="shared" si="36"/>
        <v>1</v>
      </c>
      <c r="BA65" s="46" t="str">
        <f t="shared" ca="1" si="37"/>
        <v>1</v>
      </c>
    </row>
    <row r="66" spans="5:53">
      <c r="AR66" s="77"/>
      <c r="AS66" s="76"/>
      <c r="AZ66" s="46" t="str">
        <f t="shared" si="36"/>
        <v>1</v>
      </c>
      <c r="BA66" s="46" t="str">
        <f t="shared" si="37"/>
        <v>1</v>
      </c>
    </row>
    <row r="67" spans="5:53">
      <c r="AZ67" s="46" t="str">
        <f t="shared" si="36"/>
        <v>1</v>
      </c>
      <c r="BA67" s="46" t="str">
        <f t="shared" si="37"/>
        <v>1</v>
      </c>
    </row>
    <row r="68" spans="5:53">
      <c r="O68" s="73"/>
      <c r="P68" s="73"/>
      <c r="R68" s="75" t="s">
        <v>106</v>
      </c>
      <c r="S68" s="74"/>
      <c r="T68" s="74"/>
      <c r="U68" s="73"/>
      <c r="V68" s="73"/>
      <c r="W68" s="73"/>
      <c r="X68" s="73"/>
      <c r="Y68" s="73"/>
      <c r="Z68" s="72" t="s">
        <v>105</v>
      </c>
      <c r="AA68" s="71" t="s">
        <v>104</v>
      </c>
      <c r="AB68" s="72" t="s">
        <v>103</v>
      </c>
      <c r="AC68" s="71" t="s">
        <v>102</v>
      </c>
      <c r="AD68" s="72" t="s">
        <v>101</v>
      </c>
      <c r="AE68" s="71" t="s">
        <v>100</v>
      </c>
      <c r="AZ68" s="46" t="str">
        <f t="shared" si="36"/>
        <v>1</v>
      </c>
      <c r="BA68" s="46" t="str">
        <f t="shared" si="37"/>
        <v>1</v>
      </c>
    </row>
    <row r="69" spans="5:53">
      <c r="O69" s="45"/>
      <c r="P69" s="45"/>
      <c r="R69" s="67" t="s">
        <v>99</v>
      </c>
      <c r="S69" s="66"/>
      <c r="T69" s="66"/>
      <c r="U69" s="45"/>
      <c r="V69" s="45"/>
      <c r="W69" s="45"/>
      <c r="X69" s="45"/>
      <c r="Y69" s="45"/>
      <c r="Z69" s="64">
        <f t="shared" ref="Z69:Z89" si="38">IF(AD69=0,0,(AD69/AD$90))</f>
        <v>0.99248120300751874</v>
      </c>
      <c r="AA69" s="65">
        <f t="shared" ref="AA69:AA89" ca="1" si="39">IF(AE69=0,0,(AE69/AE$90))</f>
        <v>0.9281166612049998</v>
      </c>
      <c r="AB69" s="70" t="s">
        <v>98</v>
      </c>
      <c r="AC69" s="69" t="s">
        <v>98</v>
      </c>
      <c r="AD69" s="62">
        <f t="shared" ref="AD69:AE89" si="40">SUMIF($G$31:$G$53,$R69,AD$31:AD$63)</f>
        <v>528</v>
      </c>
      <c r="AE69" s="61">
        <f t="shared" ca="1" si="40"/>
        <v>44409.119999999995</v>
      </c>
      <c r="AF69" s="47" t="str">
        <f t="shared" ref="AF69:AF89" si="41">R69</f>
        <v>ManTech</v>
      </c>
      <c r="AG69" s="53"/>
      <c r="AH69" s="53"/>
      <c r="AI69" s="53"/>
      <c r="AJ69" s="53"/>
      <c r="AK69" s="53"/>
      <c r="AL69" s="53"/>
      <c r="AM69" s="53"/>
      <c r="AN69" s="53"/>
      <c r="AO69" s="53"/>
      <c r="AP69" s="53"/>
      <c r="AQ69" s="53"/>
      <c r="AR69" s="53"/>
      <c r="AS69" s="53"/>
      <c r="AT69" s="53"/>
      <c r="AU69" s="53"/>
      <c r="AV69" s="52"/>
      <c r="AW69" s="51"/>
      <c r="AZ69" s="46" t="str">
        <f t="shared" si="36"/>
        <v>1</v>
      </c>
      <c r="BA69" s="46" t="str">
        <f t="shared" ca="1" si="37"/>
        <v>1</v>
      </c>
    </row>
    <row r="70" spans="5:53">
      <c r="M70" s="68"/>
      <c r="O70" s="45"/>
      <c r="P70" s="45"/>
      <c r="R70" s="67" t="s">
        <v>241</v>
      </c>
      <c r="S70" s="66"/>
      <c r="T70" s="66"/>
      <c r="U70" s="45"/>
      <c r="V70" s="45"/>
      <c r="W70" s="45"/>
      <c r="X70" s="45"/>
      <c r="Y70" s="45"/>
      <c r="Z70" s="64">
        <f t="shared" si="38"/>
        <v>7.5187969924812026E-3</v>
      </c>
      <c r="AA70" s="65">
        <f t="shared" ca="1" si="39"/>
        <v>7.1883338795000251E-2</v>
      </c>
      <c r="AB70" s="64">
        <f t="shared" ref="AB70:AB89" si="42">IF(AD70=0,0,(AD70/(AD$90-AD$69)))</f>
        <v>1</v>
      </c>
      <c r="AC70" s="63">
        <f t="shared" ref="AC70:AC89" ca="1" si="43">IF(AE70=0,0,(AE70/(AE$90-AE$69)))</f>
        <v>1.0000000000000009</v>
      </c>
      <c r="AD70" s="62">
        <f t="shared" si="40"/>
        <v>4</v>
      </c>
      <c r="AE70" s="61">
        <f t="shared" ca="1" si="40"/>
        <v>3439.52</v>
      </c>
      <c r="AF70" s="47" t="str">
        <f t="shared" si="41"/>
        <v>Segovia, Inc.</v>
      </c>
      <c r="AG70" s="53"/>
      <c r="AH70" s="53"/>
      <c r="AI70" s="53"/>
      <c r="AJ70" s="53"/>
      <c r="AK70" s="53"/>
      <c r="AL70" s="53"/>
      <c r="AM70" s="53"/>
      <c r="AN70" s="53"/>
      <c r="AO70" s="53"/>
      <c r="AP70" s="53"/>
      <c r="AQ70" s="53"/>
      <c r="AR70" s="53"/>
      <c r="AS70" s="53"/>
      <c r="AT70" s="53"/>
      <c r="AU70" s="53"/>
      <c r="AV70" s="52"/>
      <c r="AW70" s="51"/>
      <c r="AZ70" s="46" t="str">
        <f t="shared" ca="1" si="36"/>
        <v>1</v>
      </c>
      <c r="BA70" s="46" t="str">
        <f t="shared" ca="1" si="37"/>
        <v>1</v>
      </c>
    </row>
    <row r="71" spans="5:53">
      <c r="M71" s="68"/>
      <c r="O71" s="45"/>
      <c r="P71" s="45"/>
      <c r="R71" s="67" t="s">
        <v>242</v>
      </c>
      <c r="S71" s="66"/>
      <c r="T71" s="66"/>
      <c r="U71" s="45"/>
      <c r="V71" s="45"/>
      <c r="W71" s="45"/>
      <c r="X71" s="45"/>
      <c r="Y71" s="45"/>
      <c r="Z71" s="64">
        <f t="shared" si="38"/>
        <v>0</v>
      </c>
      <c r="AA71" s="65">
        <f t="shared" si="39"/>
        <v>0</v>
      </c>
      <c r="AB71" s="64">
        <f t="shared" si="42"/>
        <v>0</v>
      </c>
      <c r="AC71" s="63">
        <f t="shared" si="43"/>
        <v>0</v>
      </c>
      <c r="AD71" s="62">
        <f t="shared" si="40"/>
        <v>0</v>
      </c>
      <c r="AE71" s="61">
        <f t="shared" si="40"/>
        <v>0</v>
      </c>
      <c r="AF71" s="47" t="str">
        <f t="shared" si="41"/>
        <v>Briggs and Sons</v>
      </c>
      <c r="AG71" s="53"/>
      <c r="AH71" s="53"/>
      <c r="AI71" s="53"/>
      <c r="AJ71" s="53"/>
      <c r="AK71" s="53"/>
      <c r="AL71" s="53"/>
      <c r="AM71" s="53"/>
      <c r="AN71" s="53"/>
      <c r="AO71" s="53"/>
      <c r="AP71" s="53"/>
      <c r="AQ71" s="53"/>
      <c r="AR71" s="53"/>
      <c r="AS71" s="53"/>
      <c r="AT71" s="53"/>
      <c r="AU71" s="53"/>
      <c r="AV71" s="52"/>
      <c r="AW71" s="51"/>
      <c r="AZ71" s="46" t="str">
        <f t="shared" si="36"/>
        <v>0</v>
      </c>
      <c r="BA71" s="46" t="str">
        <f t="shared" si="37"/>
        <v>0</v>
      </c>
    </row>
    <row r="72" spans="5:53">
      <c r="M72" s="68"/>
      <c r="O72" s="45"/>
      <c r="P72" s="45"/>
      <c r="R72" s="67" t="s">
        <v>243</v>
      </c>
      <c r="S72" s="66"/>
      <c r="T72" s="66"/>
      <c r="U72" s="45"/>
      <c r="V72" s="45"/>
      <c r="W72" s="45"/>
      <c r="X72" s="45"/>
      <c r="Y72" s="45"/>
      <c r="Z72" s="64">
        <f t="shared" si="38"/>
        <v>0</v>
      </c>
      <c r="AA72" s="65">
        <f t="shared" ca="1" si="39"/>
        <v>0</v>
      </c>
      <c r="AB72" s="64">
        <f t="shared" si="42"/>
        <v>0</v>
      </c>
      <c r="AC72" s="63">
        <f t="shared" ca="1" si="43"/>
        <v>0</v>
      </c>
      <c r="AD72" s="62">
        <f t="shared" si="40"/>
        <v>0</v>
      </c>
      <c r="AE72" s="61">
        <f t="shared" ca="1" si="40"/>
        <v>0</v>
      </c>
      <c r="AF72" s="47" t="str">
        <f t="shared" si="41"/>
        <v>Yvan</v>
      </c>
      <c r="AG72" s="53"/>
      <c r="AH72" s="53"/>
      <c r="AI72" s="53"/>
      <c r="AJ72" s="53"/>
      <c r="AK72" s="53"/>
      <c r="AL72" s="53"/>
      <c r="AM72" s="53"/>
      <c r="AN72" s="53"/>
      <c r="AO72" s="53"/>
      <c r="AP72" s="53"/>
      <c r="AQ72" s="53"/>
      <c r="AR72" s="53"/>
      <c r="AS72" s="53"/>
      <c r="AT72" s="53"/>
      <c r="AU72" s="53"/>
      <c r="AV72" s="52"/>
      <c r="AW72" s="51"/>
      <c r="AZ72" s="46" t="str">
        <f t="shared" ca="1" si="36"/>
        <v>0</v>
      </c>
      <c r="BA72" s="46" t="str">
        <f t="shared" ca="1" si="37"/>
        <v>0</v>
      </c>
    </row>
    <row r="73" spans="5:53">
      <c r="O73" s="45"/>
      <c r="P73" s="45"/>
      <c r="R73" s="67" t="s">
        <v>244</v>
      </c>
      <c r="S73" s="66"/>
      <c r="T73" s="66"/>
      <c r="U73" s="45"/>
      <c r="V73" s="45"/>
      <c r="W73" s="45"/>
      <c r="X73" s="45"/>
      <c r="Y73" s="45"/>
      <c r="Z73" s="64">
        <f t="shared" si="38"/>
        <v>0</v>
      </c>
      <c r="AA73" s="65">
        <f t="shared" si="39"/>
        <v>0</v>
      </c>
      <c r="AB73" s="64">
        <f t="shared" si="42"/>
        <v>0</v>
      </c>
      <c r="AC73" s="63">
        <f t="shared" si="43"/>
        <v>0</v>
      </c>
      <c r="AD73" s="62">
        <f t="shared" si="40"/>
        <v>0</v>
      </c>
      <c r="AE73" s="61">
        <f t="shared" si="40"/>
        <v>0</v>
      </c>
      <c r="AF73" s="47" t="str">
        <f t="shared" si="41"/>
        <v>Sub 4</v>
      </c>
      <c r="AG73" s="53"/>
      <c r="AH73" s="53"/>
      <c r="AI73" s="53"/>
      <c r="AJ73" s="53"/>
      <c r="AK73" s="53"/>
      <c r="AL73" s="53"/>
      <c r="AM73" s="53"/>
      <c r="AN73" s="53"/>
      <c r="AO73" s="53"/>
      <c r="AP73" s="53"/>
      <c r="AQ73" s="53"/>
      <c r="AR73" s="53"/>
      <c r="AS73" s="53"/>
      <c r="AT73" s="53"/>
      <c r="AU73" s="53"/>
      <c r="AV73" s="52"/>
      <c r="AW73" s="51"/>
      <c r="AZ73" s="46" t="str">
        <f t="shared" si="36"/>
        <v>0</v>
      </c>
      <c r="BA73" s="46" t="str">
        <f t="shared" si="37"/>
        <v>0</v>
      </c>
    </row>
    <row r="74" spans="5:53">
      <c r="O74" s="45"/>
      <c r="P74" s="45"/>
      <c r="R74" s="67" t="s">
        <v>245</v>
      </c>
      <c r="S74" s="66"/>
      <c r="T74" s="66"/>
      <c r="U74" s="45"/>
      <c r="V74" s="45"/>
      <c r="W74" s="45"/>
      <c r="X74" s="45"/>
      <c r="Y74" s="45"/>
      <c r="Z74" s="64">
        <f t="shared" si="38"/>
        <v>0</v>
      </c>
      <c r="AA74" s="65">
        <f t="shared" si="39"/>
        <v>0</v>
      </c>
      <c r="AB74" s="64">
        <f t="shared" si="42"/>
        <v>0</v>
      </c>
      <c r="AC74" s="63">
        <f t="shared" si="43"/>
        <v>0</v>
      </c>
      <c r="AD74" s="62">
        <f t="shared" si="40"/>
        <v>0</v>
      </c>
      <c r="AE74" s="61">
        <f t="shared" si="40"/>
        <v>0</v>
      </c>
      <c r="AF74" s="47" t="str">
        <f t="shared" si="41"/>
        <v>Sub 5</v>
      </c>
      <c r="AG74" s="53"/>
      <c r="AH74" s="53"/>
      <c r="AI74" s="53"/>
      <c r="AJ74" s="53"/>
      <c r="AK74" s="53"/>
      <c r="AL74" s="53"/>
      <c r="AM74" s="53"/>
      <c r="AN74" s="53"/>
      <c r="AO74" s="53"/>
      <c r="AP74" s="53"/>
      <c r="AQ74" s="53"/>
      <c r="AR74" s="53"/>
      <c r="AS74" s="53"/>
      <c r="AT74" s="53"/>
      <c r="AU74" s="53"/>
      <c r="AV74" s="52"/>
      <c r="AW74" s="51"/>
      <c r="AZ74" s="46" t="str">
        <f t="shared" si="36"/>
        <v>0</v>
      </c>
      <c r="BA74" s="46" t="str">
        <f t="shared" si="37"/>
        <v>0</v>
      </c>
    </row>
    <row r="75" spans="5:53">
      <c r="O75" s="45"/>
      <c r="P75" s="45"/>
      <c r="R75" s="67" t="s">
        <v>246</v>
      </c>
      <c r="S75" s="66"/>
      <c r="T75" s="66"/>
      <c r="U75" s="45"/>
      <c r="V75" s="45"/>
      <c r="W75" s="45"/>
      <c r="X75" s="45"/>
      <c r="Y75" s="45"/>
      <c r="Z75" s="64">
        <f t="shared" si="38"/>
        <v>0</v>
      </c>
      <c r="AA75" s="65">
        <f t="shared" si="39"/>
        <v>0</v>
      </c>
      <c r="AB75" s="64">
        <f t="shared" si="42"/>
        <v>0</v>
      </c>
      <c r="AC75" s="63">
        <f t="shared" si="43"/>
        <v>0</v>
      </c>
      <c r="AD75" s="62">
        <f t="shared" si="40"/>
        <v>0</v>
      </c>
      <c r="AE75" s="61">
        <f t="shared" si="40"/>
        <v>0</v>
      </c>
      <c r="AF75" s="47" t="str">
        <f t="shared" si="41"/>
        <v>Sub 6</v>
      </c>
      <c r="AG75" s="53"/>
      <c r="AH75" s="53"/>
      <c r="AI75" s="53"/>
      <c r="AJ75" s="53"/>
      <c r="AK75" s="53"/>
      <c r="AL75" s="53"/>
      <c r="AM75" s="53"/>
      <c r="AN75" s="53"/>
      <c r="AO75" s="53"/>
      <c r="AP75" s="53"/>
      <c r="AQ75" s="53"/>
      <c r="AR75" s="53"/>
      <c r="AS75" s="53"/>
      <c r="AT75" s="53"/>
      <c r="AU75" s="53"/>
      <c r="AV75" s="52"/>
      <c r="AW75" s="51"/>
      <c r="AZ75" s="46" t="str">
        <f t="shared" si="36"/>
        <v>0</v>
      </c>
      <c r="BA75" s="46" t="str">
        <f t="shared" si="37"/>
        <v>0</v>
      </c>
    </row>
    <row r="76" spans="5:53">
      <c r="O76" s="45"/>
      <c r="P76" s="45"/>
      <c r="R76" s="67" t="s">
        <v>247</v>
      </c>
      <c r="S76" s="66"/>
      <c r="T76" s="66"/>
      <c r="U76" s="45"/>
      <c r="V76" s="45"/>
      <c r="W76" s="45"/>
      <c r="X76" s="45"/>
      <c r="Y76" s="45"/>
      <c r="Z76" s="64">
        <f t="shared" si="38"/>
        <v>0</v>
      </c>
      <c r="AA76" s="65">
        <f t="shared" si="39"/>
        <v>0</v>
      </c>
      <c r="AB76" s="64">
        <f t="shared" si="42"/>
        <v>0</v>
      </c>
      <c r="AC76" s="63">
        <f t="shared" si="43"/>
        <v>0</v>
      </c>
      <c r="AD76" s="62">
        <f t="shared" si="40"/>
        <v>0</v>
      </c>
      <c r="AE76" s="61">
        <f t="shared" si="40"/>
        <v>0</v>
      </c>
      <c r="AF76" s="47" t="str">
        <f t="shared" si="41"/>
        <v>Sub 7</v>
      </c>
      <c r="AG76" s="53"/>
      <c r="AH76" s="53"/>
      <c r="AI76" s="53"/>
      <c r="AJ76" s="53"/>
      <c r="AK76" s="53"/>
      <c r="AL76" s="53"/>
      <c r="AM76" s="53"/>
      <c r="AN76" s="53"/>
      <c r="AO76" s="53"/>
      <c r="AP76" s="53"/>
      <c r="AQ76" s="53"/>
      <c r="AR76" s="53"/>
      <c r="AS76" s="53"/>
      <c r="AT76" s="53"/>
      <c r="AU76" s="53"/>
      <c r="AV76" s="52"/>
      <c r="AW76" s="51"/>
      <c r="AZ76" s="46" t="str">
        <f t="shared" si="36"/>
        <v>0</v>
      </c>
      <c r="BA76" s="46" t="str">
        <f t="shared" si="37"/>
        <v>0</v>
      </c>
    </row>
    <row r="77" spans="5:53">
      <c r="O77" s="45"/>
      <c r="P77" s="45"/>
      <c r="R77" s="67" t="s">
        <v>248</v>
      </c>
      <c r="S77" s="66"/>
      <c r="T77" s="66"/>
      <c r="U77" s="45"/>
      <c r="V77" s="45"/>
      <c r="W77" s="45"/>
      <c r="X77" s="45"/>
      <c r="Y77" s="45"/>
      <c r="Z77" s="64">
        <f t="shared" si="38"/>
        <v>0</v>
      </c>
      <c r="AA77" s="65">
        <f t="shared" si="39"/>
        <v>0</v>
      </c>
      <c r="AB77" s="64">
        <f t="shared" si="42"/>
        <v>0</v>
      </c>
      <c r="AC77" s="63">
        <f t="shared" si="43"/>
        <v>0</v>
      </c>
      <c r="AD77" s="62">
        <f t="shared" si="40"/>
        <v>0</v>
      </c>
      <c r="AE77" s="61">
        <f t="shared" si="40"/>
        <v>0</v>
      </c>
      <c r="AF77" s="47" t="str">
        <f t="shared" si="41"/>
        <v>Sub 8</v>
      </c>
      <c r="AG77" s="53"/>
      <c r="AH77" s="53"/>
      <c r="AI77" s="53"/>
      <c r="AJ77" s="53"/>
      <c r="AK77" s="53"/>
      <c r="AL77" s="53"/>
      <c r="AM77" s="53"/>
      <c r="AN77" s="53"/>
      <c r="AO77" s="53"/>
      <c r="AP77" s="53"/>
      <c r="AQ77" s="53"/>
      <c r="AR77" s="53"/>
      <c r="AS77" s="53"/>
      <c r="AT77" s="53"/>
      <c r="AU77" s="53"/>
      <c r="AV77" s="52"/>
      <c r="AW77" s="51"/>
      <c r="AZ77" s="46" t="str">
        <f t="shared" si="36"/>
        <v>0</v>
      </c>
      <c r="BA77" s="46" t="str">
        <f t="shared" si="37"/>
        <v>0</v>
      </c>
    </row>
    <row r="78" spans="5:53">
      <c r="O78" s="45"/>
      <c r="P78" s="45"/>
      <c r="R78" s="67" t="s">
        <v>249</v>
      </c>
      <c r="S78" s="66"/>
      <c r="T78" s="66"/>
      <c r="U78" s="45"/>
      <c r="V78" s="45"/>
      <c r="W78" s="45"/>
      <c r="X78" s="45"/>
      <c r="Y78" s="45"/>
      <c r="Z78" s="64">
        <f t="shared" si="38"/>
        <v>0</v>
      </c>
      <c r="AA78" s="65">
        <f t="shared" si="39"/>
        <v>0</v>
      </c>
      <c r="AB78" s="64">
        <f t="shared" si="42"/>
        <v>0</v>
      </c>
      <c r="AC78" s="63">
        <f t="shared" si="43"/>
        <v>0</v>
      </c>
      <c r="AD78" s="62">
        <f t="shared" si="40"/>
        <v>0</v>
      </c>
      <c r="AE78" s="61">
        <f t="shared" si="40"/>
        <v>0</v>
      </c>
      <c r="AF78" s="47" t="str">
        <f t="shared" si="41"/>
        <v>Sub 9</v>
      </c>
      <c r="AG78" s="53"/>
      <c r="AH78" s="53"/>
      <c r="AI78" s="53"/>
      <c r="AJ78" s="53"/>
      <c r="AK78" s="53"/>
      <c r="AL78" s="53"/>
      <c r="AM78" s="53"/>
      <c r="AN78" s="53"/>
      <c r="AO78" s="53"/>
      <c r="AP78" s="53"/>
      <c r="AQ78" s="53"/>
      <c r="AR78" s="53"/>
      <c r="AS78" s="53"/>
      <c r="AT78" s="53"/>
      <c r="AU78" s="53"/>
      <c r="AV78" s="52"/>
      <c r="AW78" s="51"/>
      <c r="AZ78" s="46" t="str">
        <f t="shared" si="36"/>
        <v>0</v>
      </c>
      <c r="BA78" s="46" t="str">
        <f t="shared" si="37"/>
        <v>0</v>
      </c>
    </row>
    <row r="79" spans="5:53">
      <c r="O79" s="45"/>
      <c r="P79" s="45"/>
      <c r="R79" s="67" t="s">
        <v>250</v>
      </c>
      <c r="S79" s="66"/>
      <c r="T79" s="66"/>
      <c r="U79" s="45"/>
      <c r="V79" s="45"/>
      <c r="W79" s="45"/>
      <c r="X79" s="45"/>
      <c r="Y79" s="45"/>
      <c r="Z79" s="64">
        <f t="shared" si="38"/>
        <v>0</v>
      </c>
      <c r="AA79" s="65">
        <f t="shared" si="39"/>
        <v>0</v>
      </c>
      <c r="AB79" s="64">
        <f t="shared" si="42"/>
        <v>0</v>
      </c>
      <c r="AC79" s="63">
        <f t="shared" si="43"/>
        <v>0</v>
      </c>
      <c r="AD79" s="62">
        <f t="shared" si="40"/>
        <v>0</v>
      </c>
      <c r="AE79" s="61">
        <f t="shared" si="40"/>
        <v>0</v>
      </c>
      <c r="AF79" s="47" t="str">
        <f t="shared" si="41"/>
        <v>Sub 10</v>
      </c>
      <c r="AG79" s="53"/>
      <c r="AH79" s="53"/>
      <c r="AI79" s="53"/>
      <c r="AJ79" s="53"/>
      <c r="AK79" s="53"/>
      <c r="AL79" s="53"/>
      <c r="AM79" s="53"/>
      <c r="AN79" s="53"/>
      <c r="AO79" s="53"/>
      <c r="AP79" s="53"/>
      <c r="AQ79" s="53"/>
      <c r="AR79" s="53"/>
      <c r="AS79" s="53"/>
      <c r="AT79" s="53"/>
      <c r="AU79" s="53"/>
      <c r="AV79" s="52"/>
      <c r="AW79" s="51"/>
      <c r="AZ79" s="46" t="str">
        <f t="shared" si="36"/>
        <v>0</v>
      </c>
      <c r="BA79" s="46" t="str">
        <f t="shared" si="37"/>
        <v>0</v>
      </c>
    </row>
    <row r="80" spans="5:53">
      <c r="O80" s="45"/>
      <c r="P80" s="45"/>
      <c r="R80" s="67" t="s">
        <v>251</v>
      </c>
      <c r="S80" s="66"/>
      <c r="T80" s="66"/>
      <c r="U80" s="45"/>
      <c r="V80" s="45"/>
      <c r="W80" s="45"/>
      <c r="X80" s="45"/>
      <c r="Y80" s="45"/>
      <c r="Z80" s="64">
        <f t="shared" si="38"/>
        <v>0</v>
      </c>
      <c r="AA80" s="65">
        <f t="shared" si="39"/>
        <v>0</v>
      </c>
      <c r="AB80" s="64">
        <f t="shared" si="42"/>
        <v>0</v>
      </c>
      <c r="AC80" s="63">
        <f t="shared" si="43"/>
        <v>0</v>
      </c>
      <c r="AD80" s="62">
        <f t="shared" si="40"/>
        <v>0</v>
      </c>
      <c r="AE80" s="61">
        <f t="shared" si="40"/>
        <v>0</v>
      </c>
      <c r="AF80" s="47" t="str">
        <f t="shared" si="41"/>
        <v>Sub 11</v>
      </c>
      <c r="AG80" s="53"/>
      <c r="AH80" s="53"/>
      <c r="AI80" s="53"/>
      <c r="AJ80" s="53"/>
      <c r="AK80" s="53"/>
      <c r="AL80" s="53"/>
      <c r="AM80" s="53"/>
      <c r="AN80" s="53"/>
      <c r="AO80" s="53"/>
      <c r="AP80" s="53"/>
      <c r="AQ80" s="53"/>
      <c r="AR80" s="53"/>
      <c r="AS80" s="53"/>
      <c r="AT80" s="53"/>
      <c r="AU80" s="53"/>
      <c r="AV80" s="52"/>
      <c r="AW80" s="51"/>
      <c r="AZ80" s="46" t="str">
        <f t="shared" si="36"/>
        <v>0</v>
      </c>
      <c r="BA80" s="46" t="str">
        <f t="shared" si="37"/>
        <v>0</v>
      </c>
    </row>
    <row r="81" spans="15:53" s="45" customFormat="1">
      <c r="Q81" s="47"/>
      <c r="R81" s="67" t="s">
        <v>252</v>
      </c>
      <c r="S81" s="66"/>
      <c r="T81" s="66"/>
      <c r="Z81" s="64">
        <f t="shared" si="38"/>
        <v>0</v>
      </c>
      <c r="AA81" s="65">
        <f t="shared" si="39"/>
        <v>0</v>
      </c>
      <c r="AB81" s="64">
        <f t="shared" si="42"/>
        <v>0</v>
      </c>
      <c r="AC81" s="63">
        <f t="shared" si="43"/>
        <v>0</v>
      </c>
      <c r="AD81" s="62">
        <f t="shared" si="40"/>
        <v>0</v>
      </c>
      <c r="AE81" s="61">
        <f t="shared" si="40"/>
        <v>0</v>
      </c>
      <c r="AF81" s="47" t="str">
        <f t="shared" si="41"/>
        <v>Sub 12</v>
      </c>
      <c r="AG81" s="53"/>
      <c r="AH81" s="53"/>
      <c r="AI81" s="53"/>
      <c r="AJ81" s="53"/>
      <c r="AK81" s="53"/>
      <c r="AL81" s="53"/>
      <c r="AM81" s="53"/>
      <c r="AN81" s="53"/>
      <c r="AO81" s="53"/>
      <c r="AP81" s="53"/>
      <c r="AQ81" s="53"/>
      <c r="AR81" s="53"/>
      <c r="AS81" s="53"/>
      <c r="AT81" s="53"/>
      <c r="AU81" s="53"/>
      <c r="AV81" s="52"/>
      <c r="AW81" s="51"/>
      <c r="AZ81" s="46" t="str">
        <f t="shared" si="36"/>
        <v>0</v>
      </c>
      <c r="BA81" s="46" t="str">
        <f t="shared" si="37"/>
        <v>0</v>
      </c>
    </row>
    <row r="82" spans="15:53" s="45" customFormat="1">
      <c r="Q82" s="47"/>
      <c r="R82" s="67" t="s">
        <v>253</v>
      </c>
      <c r="S82" s="66"/>
      <c r="T82" s="66"/>
      <c r="Z82" s="64">
        <f t="shared" si="38"/>
        <v>0</v>
      </c>
      <c r="AA82" s="65">
        <f t="shared" si="39"/>
        <v>0</v>
      </c>
      <c r="AB82" s="64">
        <f t="shared" si="42"/>
        <v>0</v>
      </c>
      <c r="AC82" s="63">
        <f t="shared" si="43"/>
        <v>0</v>
      </c>
      <c r="AD82" s="62">
        <f t="shared" si="40"/>
        <v>0</v>
      </c>
      <c r="AE82" s="61">
        <f t="shared" si="40"/>
        <v>0</v>
      </c>
      <c r="AF82" s="47" t="str">
        <f t="shared" si="41"/>
        <v>Sub 13</v>
      </c>
      <c r="AG82" s="53"/>
      <c r="AH82" s="53"/>
      <c r="AI82" s="53"/>
      <c r="AJ82" s="53"/>
      <c r="AK82" s="53"/>
      <c r="AL82" s="53"/>
      <c r="AM82" s="53"/>
      <c r="AN82" s="53"/>
      <c r="AO82" s="53"/>
      <c r="AP82" s="53"/>
      <c r="AQ82" s="53"/>
      <c r="AR82" s="53"/>
      <c r="AS82" s="53"/>
      <c r="AT82" s="53"/>
      <c r="AU82" s="53"/>
      <c r="AV82" s="52"/>
      <c r="AW82" s="51"/>
      <c r="AZ82" s="46" t="str">
        <f t="shared" si="36"/>
        <v>0</v>
      </c>
      <c r="BA82" s="46" t="str">
        <f t="shared" si="37"/>
        <v>0</v>
      </c>
    </row>
    <row r="83" spans="15:53" s="45" customFormat="1">
      <c r="Q83" s="47"/>
      <c r="R83" s="67" t="s">
        <v>254</v>
      </c>
      <c r="S83" s="66"/>
      <c r="T83" s="66"/>
      <c r="Z83" s="64">
        <f t="shared" si="38"/>
        <v>0</v>
      </c>
      <c r="AA83" s="65">
        <f t="shared" si="39"/>
        <v>0</v>
      </c>
      <c r="AB83" s="64">
        <f t="shared" si="42"/>
        <v>0</v>
      </c>
      <c r="AC83" s="63">
        <f t="shared" si="43"/>
        <v>0</v>
      </c>
      <c r="AD83" s="62">
        <f t="shared" si="40"/>
        <v>0</v>
      </c>
      <c r="AE83" s="61">
        <f t="shared" si="40"/>
        <v>0</v>
      </c>
      <c r="AF83" s="47" t="str">
        <f t="shared" si="41"/>
        <v>Sub 14</v>
      </c>
      <c r="AG83" s="53"/>
      <c r="AH83" s="53"/>
      <c r="AI83" s="53"/>
      <c r="AJ83" s="53"/>
      <c r="AK83" s="53"/>
      <c r="AL83" s="53"/>
      <c r="AM83" s="53"/>
      <c r="AN83" s="53"/>
      <c r="AO83" s="53"/>
      <c r="AP83" s="53"/>
      <c r="AQ83" s="53"/>
      <c r="AR83" s="53"/>
      <c r="AS83" s="53"/>
      <c r="AT83" s="53"/>
      <c r="AU83" s="53"/>
      <c r="AV83" s="52"/>
      <c r="AW83" s="51"/>
      <c r="AZ83" s="46" t="str">
        <f t="shared" si="36"/>
        <v>0</v>
      </c>
      <c r="BA83" s="46" t="str">
        <f t="shared" si="37"/>
        <v>0</v>
      </c>
    </row>
    <row r="84" spans="15:53" s="45" customFormat="1">
      <c r="Q84" s="47"/>
      <c r="R84" s="67" t="s">
        <v>255</v>
      </c>
      <c r="S84" s="66"/>
      <c r="T84" s="66"/>
      <c r="Z84" s="64">
        <f t="shared" si="38"/>
        <v>0</v>
      </c>
      <c r="AA84" s="65">
        <f t="shared" si="39"/>
        <v>0</v>
      </c>
      <c r="AB84" s="64">
        <f t="shared" si="42"/>
        <v>0</v>
      </c>
      <c r="AC84" s="63">
        <f t="shared" si="43"/>
        <v>0</v>
      </c>
      <c r="AD84" s="62">
        <f t="shared" si="40"/>
        <v>0</v>
      </c>
      <c r="AE84" s="61">
        <f t="shared" si="40"/>
        <v>0</v>
      </c>
      <c r="AF84" s="47" t="str">
        <f t="shared" si="41"/>
        <v>Sub 15</v>
      </c>
      <c r="AG84" s="53"/>
      <c r="AH84" s="53"/>
      <c r="AI84" s="53"/>
      <c r="AJ84" s="53"/>
      <c r="AK84" s="53"/>
      <c r="AL84" s="53"/>
      <c r="AM84" s="53"/>
      <c r="AN84" s="53"/>
      <c r="AO84" s="53"/>
      <c r="AP84" s="53"/>
      <c r="AQ84" s="53"/>
      <c r="AR84" s="53"/>
      <c r="AS84" s="53"/>
      <c r="AT84" s="53"/>
      <c r="AU84" s="53"/>
      <c r="AV84" s="52"/>
      <c r="AW84" s="51"/>
      <c r="AZ84" s="46" t="str">
        <f t="shared" si="36"/>
        <v>0</v>
      </c>
      <c r="BA84" s="46" t="str">
        <f t="shared" si="37"/>
        <v>0</v>
      </c>
    </row>
    <row r="85" spans="15:53" s="45" customFormat="1">
      <c r="Q85" s="47"/>
      <c r="R85" s="67" t="s">
        <v>256</v>
      </c>
      <c r="S85" s="66"/>
      <c r="T85" s="66"/>
      <c r="Z85" s="64">
        <f t="shared" si="38"/>
        <v>0</v>
      </c>
      <c r="AA85" s="65">
        <f t="shared" si="39"/>
        <v>0</v>
      </c>
      <c r="AB85" s="64">
        <f t="shared" si="42"/>
        <v>0</v>
      </c>
      <c r="AC85" s="63">
        <f t="shared" si="43"/>
        <v>0</v>
      </c>
      <c r="AD85" s="62">
        <f t="shared" si="40"/>
        <v>0</v>
      </c>
      <c r="AE85" s="61">
        <f t="shared" si="40"/>
        <v>0</v>
      </c>
      <c r="AF85" s="47" t="str">
        <f t="shared" si="41"/>
        <v>Sub 16</v>
      </c>
      <c r="AG85" s="53"/>
      <c r="AH85" s="53"/>
      <c r="AI85" s="53"/>
      <c r="AJ85" s="53"/>
      <c r="AK85" s="53"/>
      <c r="AL85" s="53"/>
      <c r="AM85" s="53"/>
      <c r="AN85" s="53"/>
      <c r="AO85" s="53"/>
      <c r="AP85" s="53"/>
      <c r="AQ85" s="53"/>
      <c r="AR85" s="53"/>
      <c r="AS85" s="53"/>
      <c r="AT85" s="53"/>
      <c r="AU85" s="53"/>
      <c r="AV85" s="52"/>
      <c r="AW85" s="51"/>
      <c r="AZ85" s="46" t="str">
        <f t="shared" si="36"/>
        <v>0</v>
      </c>
      <c r="BA85" s="46" t="str">
        <f t="shared" si="37"/>
        <v>0</v>
      </c>
    </row>
    <row r="86" spans="15:53" s="45" customFormat="1">
      <c r="Q86" s="47"/>
      <c r="R86" s="67" t="s">
        <v>257</v>
      </c>
      <c r="S86" s="66"/>
      <c r="T86" s="66"/>
      <c r="Z86" s="64">
        <f t="shared" si="38"/>
        <v>0</v>
      </c>
      <c r="AA86" s="65">
        <f t="shared" si="39"/>
        <v>0</v>
      </c>
      <c r="AB86" s="64">
        <f t="shared" si="42"/>
        <v>0</v>
      </c>
      <c r="AC86" s="63">
        <f t="shared" si="43"/>
        <v>0</v>
      </c>
      <c r="AD86" s="62">
        <f t="shared" si="40"/>
        <v>0</v>
      </c>
      <c r="AE86" s="61">
        <f t="shared" si="40"/>
        <v>0</v>
      </c>
      <c r="AF86" s="47" t="str">
        <f t="shared" si="41"/>
        <v>Sub 17</v>
      </c>
      <c r="AG86" s="53"/>
      <c r="AH86" s="53"/>
      <c r="AI86" s="53"/>
      <c r="AJ86" s="53"/>
      <c r="AK86" s="53"/>
      <c r="AL86" s="53"/>
      <c r="AM86" s="53"/>
      <c r="AN86" s="53"/>
      <c r="AO86" s="53"/>
      <c r="AP86" s="53"/>
      <c r="AQ86" s="53"/>
      <c r="AR86" s="53"/>
      <c r="AS86" s="53"/>
      <c r="AT86" s="53"/>
      <c r="AU86" s="53"/>
      <c r="AV86" s="52"/>
      <c r="AW86" s="51"/>
      <c r="AZ86" s="46" t="str">
        <f t="shared" si="36"/>
        <v>0</v>
      </c>
      <c r="BA86" s="46" t="str">
        <f t="shared" si="37"/>
        <v>0</v>
      </c>
    </row>
    <row r="87" spans="15:53" s="45" customFormat="1">
      <c r="Q87" s="47"/>
      <c r="R87" s="67" t="s">
        <v>258</v>
      </c>
      <c r="S87" s="66"/>
      <c r="T87" s="66"/>
      <c r="Z87" s="64">
        <f t="shared" si="38"/>
        <v>0</v>
      </c>
      <c r="AA87" s="65">
        <f t="shared" si="39"/>
        <v>0</v>
      </c>
      <c r="AB87" s="64">
        <f t="shared" si="42"/>
        <v>0</v>
      </c>
      <c r="AC87" s="63">
        <f t="shared" si="43"/>
        <v>0</v>
      </c>
      <c r="AD87" s="62">
        <f t="shared" si="40"/>
        <v>0</v>
      </c>
      <c r="AE87" s="61">
        <f t="shared" si="40"/>
        <v>0</v>
      </c>
      <c r="AF87" s="47" t="str">
        <f t="shared" si="41"/>
        <v>Sub 18</v>
      </c>
      <c r="AG87" s="53"/>
      <c r="AH87" s="53"/>
      <c r="AI87" s="53"/>
      <c r="AJ87" s="53"/>
      <c r="AK87" s="53"/>
      <c r="AL87" s="53"/>
      <c r="AM87" s="53"/>
      <c r="AN87" s="53"/>
      <c r="AO87" s="53"/>
      <c r="AP87" s="53"/>
      <c r="AQ87" s="53"/>
      <c r="AR87" s="53"/>
      <c r="AS87" s="53"/>
      <c r="AT87" s="53"/>
      <c r="AU87" s="53"/>
      <c r="AV87" s="52"/>
      <c r="AW87" s="51"/>
      <c r="AZ87" s="46" t="str">
        <f t="shared" si="36"/>
        <v>0</v>
      </c>
      <c r="BA87" s="46" t="str">
        <f t="shared" si="37"/>
        <v>0</v>
      </c>
    </row>
    <row r="88" spans="15:53" s="45" customFormat="1">
      <c r="Q88" s="47"/>
      <c r="R88" s="67" t="s">
        <v>259</v>
      </c>
      <c r="S88" s="66"/>
      <c r="T88" s="66"/>
      <c r="Z88" s="64">
        <f t="shared" si="38"/>
        <v>0</v>
      </c>
      <c r="AA88" s="65">
        <f t="shared" si="39"/>
        <v>0</v>
      </c>
      <c r="AB88" s="64">
        <f t="shared" si="42"/>
        <v>0</v>
      </c>
      <c r="AC88" s="63">
        <f t="shared" si="43"/>
        <v>0</v>
      </c>
      <c r="AD88" s="62">
        <f t="shared" si="40"/>
        <v>0</v>
      </c>
      <c r="AE88" s="61">
        <f t="shared" si="40"/>
        <v>0</v>
      </c>
      <c r="AF88" s="47" t="str">
        <f t="shared" si="41"/>
        <v>Sub 19</v>
      </c>
      <c r="AG88" s="53"/>
      <c r="AH88" s="53"/>
      <c r="AI88" s="53"/>
      <c r="AJ88" s="53"/>
      <c r="AK88" s="53"/>
      <c r="AL88" s="53"/>
      <c r="AM88" s="53"/>
      <c r="AN88" s="53"/>
      <c r="AO88" s="53"/>
      <c r="AP88" s="53"/>
      <c r="AQ88" s="53"/>
      <c r="AR88" s="53"/>
      <c r="AS88" s="53"/>
      <c r="AT88" s="53"/>
      <c r="AU88" s="53"/>
      <c r="AV88" s="52"/>
      <c r="AW88" s="51"/>
      <c r="AZ88" s="46" t="str">
        <f t="shared" si="36"/>
        <v>0</v>
      </c>
      <c r="BA88" s="46" t="str">
        <f t="shared" si="37"/>
        <v>0</v>
      </c>
    </row>
    <row r="89" spans="15:53" s="45" customFormat="1">
      <c r="Q89" s="47"/>
      <c r="R89" s="67" t="s">
        <v>260</v>
      </c>
      <c r="S89" s="66"/>
      <c r="T89" s="66"/>
      <c r="Z89" s="64">
        <f t="shared" si="38"/>
        <v>0</v>
      </c>
      <c r="AA89" s="65">
        <f t="shared" si="39"/>
        <v>0</v>
      </c>
      <c r="AB89" s="64">
        <f t="shared" si="42"/>
        <v>0</v>
      </c>
      <c r="AC89" s="63">
        <f t="shared" si="43"/>
        <v>0</v>
      </c>
      <c r="AD89" s="62">
        <f t="shared" si="40"/>
        <v>0</v>
      </c>
      <c r="AE89" s="61">
        <f t="shared" si="40"/>
        <v>0</v>
      </c>
      <c r="AF89" s="47" t="str">
        <f t="shared" si="41"/>
        <v>Sub 20</v>
      </c>
      <c r="AG89" s="53"/>
      <c r="AH89" s="53"/>
      <c r="AI89" s="53"/>
      <c r="AJ89" s="53"/>
      <c r="AK89" s="53"/>
      <c r="AL89" s="53"/>
      <c r="AM89" s="53"/>
      <c r="AN89" s="53"/>
      <c r="AO89" s="53"/>
      <c r="AP89" s="53"/>
      <c r="AQ89" s="53"/>
      <c r="AR89" s="53"/>
      <c r="AS89" s="53"/>
      <c r="AT89" s="53"/>
      <c r="AU89" s="53"/>
      <c r="AV89" s="52"/>
      <c r="AW89" s="51"/>
      <c r="AZ89" s="46" t="str">
        <f t="shared" si="36"/>
        <v>0</v>
      </c>
      <c r="BA89" s="46" t="str">
        <f t="shared" si="37"/>
        <v>0</v>
      </c>
    </row>
    <row r="90" spans="15:53" s="45" customFormat="1" ht="13.5" thickBot="1">
      <c r="O90" s="60"/>
      <c r="P90" s="60"/>
      <c r="Q90" s="47"/>
      <c r="R90" s="58" t="s">
        <v>97</v>
      </c>
      <c r="S90" s="60"/>
      <c r="T90" s="60"/>
      <c r="U90" s="60"/>
      <c r="V90" s="60"/>
      <c r="W90" s="60"/>
      <c r="X90" s="60"/>
      <c r="Y90" s="60"/>
      <c r="Z90" s="58"/>
      <c r="AA90" s="59"/>
      <c r="AB90" s="58"/>
      <c r="AC90" s="57"/>
      <c r="AD90" s="56">
        <f>SUM(AD69:AD89)</f>
        <v>532</v>
      </c>
      <c r="AE90" s="55">
        <f ca="1">SUM(AE69:AE89)</f>
        <v>47848.639999999992</v>
      </c>
      <c r="AF90" s="47"/>
      <c r="AG90" s="54"/>
      <c r="AH90" s="54"/>
      <c r="AI90" s="54"/>
      <c r="AJ90" s="54"/>
      <c r="AK90" s="54"/>
      <c r="AL90" s="54"/>
      <c r="AM90" s="54"/>
      <c r="AN90" s="54"/>
      <c r="AO90" s="54"/>
      <c r="AP90" s="54"/>
      <c r="AQ90" s="54"/>
      <c r="AR90" s="54"/>
      <c r="AS90" s="54"/>
      <c r="AT90" s="54"/>
      <c r="AU90" s="53"/>
      <c r="AV90" s="52"/>
      <c r="AW90" s="51"/>
      <c r="AZ90" s="46" t="str">
        <f t="shared" si="36"/>
        <v>1</v>
      </c>
      <c r="BA90" s="46" t="str">
        <f t="shared" ca="1" si="37"/>
        <v>1</v>
      </c>
    </row>
    <row r="91" spans="15:53" s="45" customFormat="1" ht="13.5" thickTop="1">
      <c r="O91" s="49"/>
      <c r="P91" s="49"/>
      <c r="Q91" s="47"/>
      <c r="R91" s="50"/>
      <c r="S91" s="49"/>
      <c r="T91" s="49"/>
      <c r="U91" s="49"/>
      <c r="V91" s="49"/>
      <c r="W91" s="49"/>
      <c r="X91" s="49"/>
      <c r="Y91" s="49"/>
      <c r="Z91" s="49"/>
      <c r="AA91" s="49"/>
      <c r="AB91" s="49"/>
      <c r="AC91" s="49"/>
      <c r="AD91" s="49"/>
      <c r="AE91" s="48"/>
      <c r="AF91" s="47"/>
      <c r="AG91" s="47"/>
      <c r="AH91" s="47"/>
      <c r="AI91" s="47"/>
      <c r="AJ91" s="47"/>
      <c r="AK91" s="47"/>
      <c r="AL91" s="47"/>
      <c r="AM91" s="47"/>
      <c r="AN91" s="47"/>
      <c r="AO91" s="47"/>
      <c r="AP91" s="47"/>
      <c r="AQ91" s="47"/>
      <c r="AR91" s="47"/>
      <c r="AS91" s="47"/>
      <c r="AT91" s="47"/>
      <c r="AV91" s="47"/>
      <c r="AZ91" s="46" t="str">
        <f t="shared" si="36"/>
        <v>1</v>
      </c>
      <c r="BA91" s="46" t="str">
        <f t="shared" si="37"/>
        <v>1</v>
      </c>
    </row>
  </sheetData>
  <autoFilter ref="AZ29:BA29"/>
  <mergeCells count="1">
    <mergeCell ref="F2:L2"/>
  </mergeCells>
  <conditionalFormatting sqref="R24:U24">
    <cfRule type="cellIs" dxfId="0" priority="1" stopIfTrue="1" operator="greaterThan">
      <formula>0</formula>
    </cfRule>
  </conditionalFormatting>
  <dataValidations count="2">
    <dataValidation type="list" allowBlank="1" showInputMessage="1" showErrorMessage="1" sqref="G32:G49 JC32:JC49 SY32:SY49 ACU32:ACU49 AMQ32:AMQ49 AWM32:AWM49 BGI32:BGI49 BQE32:BQE49 CAA32:CAA49 CJW32:CJW49 CTS32:CTS49 DDO32:DDO49 DNK32:DNK49 DXG32:DXG49 EHC32:EHC49 EQY32:EQY49 FAU32:FAU49 FKQ32:FKQ49 FUM32:FUM49 GEI32:GEI49 GOE32:GOE49 GYA32:GYA49 HHW32:HHW49 HRS32:HRS49 IBO32:IBO49 ILK32:ILK49 IVG32:IVG49 JFC32:JFC49 JOY32:JOY49 JYU32:JYU49 KIQ32:KIQ49 KSM32:KSM49 LCI32:LCI49 LME32:LME49 LWA32:LWA49 MFW32:MFW49 MPS32:MPS49 MZO32:MZO49 NJK32:NJK49 NTG32:NTG49 ODC32:ODC49 OMY32:OMY49 OWU32:OWU49 PGQ32:PGQ49 PQM32:PQM49 QAI32:QAI49 QKE32:QKE49 QUA32:QUA49 RDW32:RDW49 RNS32:RNS49 RXO32:RXO49 SHK32:SHK49 SRG32:SRG49 TBC32:TBC49 TKY32:TKY49 TUU32:TUU49 UEQ32:UEQ49 UOM32:UOM49 UYI32:UYI49 VIE32:VIE49 VSA32:VSA49 WBW32:WBW49 WLS32:WLS49 WVO32:WVO49 G65568:G65585 JC65568:JC65585 SY65568:SY65585 ACU65568:ACU65585 AMQ65568:AMQ65585 AWM65568:AWM65585 BGI65568:BGI65585 BQE65568:BQE65585 CAA65568:CAA65585 CJW65568:CJW65585 CTS65568:CTS65585 DDO65568:DDO65585 DNK65568:DNK65585 DXG65568:DXG65585 EHC65568:EHC65585 EQY65568:EQY65585 FAU65568:FAU65585 FKQ65568:FKQ65585 FUM65568:FUM65585 GEI65568:GEI65585 GOE65568:GOE65585 GYA65568:GYA65585 HHW65568:HHW65585 HRS65568:HRS65585 IBO65568:IBO65585 ILK65568:ILK65585 IVG65568:IVG65585 JFC65568:JFC65585 JOY65568:JOY65585 JYU65568:JYU65585 KIQ65568:KIQ65585 KSM65568:KSM65585 LCI65568:LCI65585 LME65568:LME65585 LWA65568:LWA65585 MFW65568:MFW65585 MPS65568:MPS65585 MZO65568:MZO65585 NJK65568:NJK65585 NTG65568:NTG65585 ODC65568:ODC65585 OMY65568:OMY65585 OWU65568:OWU65585 PGQ65568:PGQ65585 PQM65568:PQM65585 QAI65568:QAI65585 QKE65568:QKE65585 QUA65568:QUA65585 RDW65568:RDW65585 RNS65568:RNS65585 RXO65568:RXO65585 SHK65568:SHK65585 SRG65568:SRG65585 TBC65568:TBC65585 TKY65568:TKY65585 TUU65568:TUU65585 UEQ65568:UEQ65585 UOM65568:UOM65585 UYI65568:UYI65585 VIE65568:VIE65585 VSA65568:VSA65585 WBW65568:WBW65585 WLS65568:WLS65585 WVO65568:WVO65585 G131104:G131121 JC131104:JC131121 SY131104:SY131121 ACU131104:ACU131121 AMQ131104:AMQ131121 AWM131104:AWM131121 BGI131104:BGI131121 BQE131104:BQE131121 CAA131104:CAA131121 CJW131104:CJW131121 CTS131104:CTS131121 DDO131104:DDO131121 DNK131104:DNK131121 DXG131104:DXG131121 EHC131104:EHC131121 EQY131104:EQY131121 FAU131104:FAU131121 FKQ131104:FKQ131121 FUM131104:FUM131121 GEI131104:GEI131121 GOE131104:GOE131121 GYA131104:GYA131121 HHW131104:HHW131121 HRS131104:HRS131121 IBO131104:IBO131121 ILK131104:ILK131121 IVG131104:IVG131121 JFC131104:JFC131121 JOY131104:JOY131121 JYU131104:JYU131121 KIQ131104:KIQ131121 KSM131104:KSM131121 LCI131104:LCI131121 LME131104:LME131121 LWA131104:LWA131121 MFW131104:MFW131121 MPS131104:MPS131121 MZO131104:MZO131121 NJK131104:NJK131121 NTG131104:NTG131121 ODC131104:ODC131121 OMY131104:OMY131121 OWU131104:OWU131121 PGQ131104:PGQ131121 PQM131104:PQM131121 QAI131104:QAI131121 QKE131104:QKE131121 QUA131104:QUA131121 RDW131104:RDW131121 RNS131104:RNS131121 RXO131104:RXO131121 SHK131104:SHK131121 SRG131104:SRG131121 TBC131104:TBC131121 TKY131104:TKY131121 TUU131104:TUU131121 UEQ131104:UEQ131121 UOM131104:UOM131121 UYI131104:UYI131121 VIE131104:VIE131121 VSA131104:VSA131121 WBW131104:WBW131121 WLS131104:WLS131121 WVO131104:WVO131121 G196640:G196657 JC196640:JC196657 SY196640:SY196657 ACU196640:ACU196657 AMQ196640:AMQ196657 AWM196640:AWM196657 BGI196640:BGI196657 BQE196640:BQE196657 CAA196640:CAA196657 CJW196640:CJW196657 CTS196640:CTS196657 DDO196640:DDO196657 DNK196640:DNK196657 DXG196640:DXG196657 EHC196640:EHC196657 EQY196640:EQY196657 FAU196640:FAU196657 FKQ196640:FKQ196657 FUM196640:FUM196657 GEI196640:GEI196657 GOE196640:GOE196657 GYA196640:GYA196657 HHW196640:HHW196657 HRS196640:HRS196657 IBO196640:IBO196657 ILK196640:ILK196657 IVG196640:IVG196657 JFC196640:JFC196657 JOY196640:JOY196657 JYU196640:JYU196657 KIQ196640:KIQ196657 KSM196640:KSM196657 LCI196640:LCI196657 LME196640:LME196657 LWA196640:LWA196657 MFW196640:MFW196657 MPS196640:MPS196657 MZO196640:MZO196657 NJK196640:NJK196657 NTG196640:NTG196657 ODC196640:ODC196657 OMY196640:OMY196657 OWU196640:OWU196657 PGQ196640:PGQ196657 PQM196640:PQM196657 QAI196640:QAI196657 QKE196640:QKE196657 QUA196640:QUA196657 RDW196640:RDW196657 RNS196640:RNS196657 RXO196640:RXO196657 SHK196640:SHK196657 SRG196640:SRG196657 TBC196640:TBC196657 TKY196640:TKY196657 TUU196640:TUU196657 UEQ196640:UEQ196657 UOM196640:UOM196657 UYI196640:UYI196657 VIE196640:VIE196657 VSA196640:VSA196657 WBW196640:WBW196657 WLS196640:WLS196657 WVO196640:WVO196657 G262176:G262193 JC262176:JC262193 SY262176:SY262193 ACU262176:ACU262193 AMQ262176:AMQ262193 AWM262176:AWM262193 BGI262176:BGI262193 BQE262176:BQE262193 CAA262176:CAA262193 CJW262176:CJW262193 CTS262176:CTS262193 DDO262176:DDO262193 DNK262176:DNK262193 DXG262176:DXG262193 EHC262176:EHC262193 EQY262176:EQY262193 FAU262176:FAU262193 FKQ262176:FKQ262193 FUM262176:FUM262193 GEI262176:GEI262193 GOE262176:GOE262193 GYA262176:GYA262193 HHW262176:HHW262193 HRS262176:HRS262193 IBO262176:IBO262193 ILK262176:ILK262193 IVG262176:IVG262193 JFC262176:JFC262193 JOY262176:JOY262193 JYU262176:JYU262193 KIQ262176:KIQ262193 KSM262176:KSM262193 LCI262176:LCI262193 LME262176:LME262193 LWA262176:LWA262193 MFW262176:MFW262193 MPS262176:MPS262193 MZO262176:MZO262193 NJK262176:NJK262193 NTG262176:NTG262193 ODC262176:ODC262193 OMY262176:OMY262193 OWU262176:OWU262193 PGQ262176:PGQ262193 PQM262176:PQM262193 QAI262176:QAI262193 QKE262176:QKE262193 QUA262176:QUA262193 RDW262176:RDW262193 RNS262176:RNS262193 RXO262176:RXO262193 SHK262176:SHK262193 SRG262176:SRG262193 TBC262176:TBC262193 TKY262176:TKY262193 TUU262176:TUU262193 UEQ262176:UEQ262193 UOM262176:UOM262193 UYI262176:UYI262193 VIE262176:VIE262193 VSA262176:VSA262193 WBW262176:WBW262193 WLS262176:WLS262193 WVO262176:WVO262193 G327712:G327729 JC327712:JC327729 SY327712:SY327729 ACU327712:ACU327729 AMQ327712:AMQ327729 AWM327712:AWM327729 BGI327712:BGI327729 BQE327712:BQE327729 CAA327712:CAA327729 CJW327712:CJW327729 CTS327712:CTS327729 DDO327712:DDO327729 DNK327712:DNK327729 DXG327712:DXG327729 EHC327712:EHC327729 EQY327712:EQY327729 FAU327712:FAU327729 FKQ327712:FKQ327729 FUM327712:FUM327729 GEI327712:GEI327729 GOE327712:GOE327729 GYA327712:GYA327729 HHW327712:HHW327729 HRS327712:HRS327729 IBO327712:IBO327729 ILK327712:ILK327729 IVG327712:IVG327729 JFC327712:JFC327729 JOY327712:JOY327729 JYU327712:JYU327729 KIQ327712:KIQ327729 KSM327712:KSM327729 LCI327712:LCI327729 LME327712:LME327729 LWA327712:LWA327729 MFW327712:MFW327729 MPS327712:MPS327729 MZO327712:MZO327729 NJK327712:NJK327729 NTG327712:NTG327729 ODC327712:ODC327729 OMY327712:OMY327729 OWU327712:OWU327729 PGQ327712:PGQ327729 PQM327712:PQM327729 QAI327712:QAI327729 QKE327712:QKE327729 QUA327712:QUA327729 RDW327712:RDW327729 RNS327712:RNS327729 RXO327712:RXO327729 SHK327712:SHK327729 SRG327712:SRG327729 TBC327712:TBC327729 TKY327712:TKY327729 TUU327712:TUU327729 UEQ327712:UEQ327729 UOM327712:UOM327729 UYI327712:UYI327729 VIE327712:VIE327729 VSA327712:VSA327729 WBW327712:WBW327729 WLS327712:WLS327729 WVO327712:WVO327729 G393248:G393265 JC393248:JC393265 SY393248:SY393265 ACU393248:ACU393265 AMQ393248:AMQ393265 AWM393248:AWM393265 BGI393248:BGI393265 BQE393248:BQE393265 CAA393248:CAA393265 CJW393248:CJW393265 CTS393248:CTS393265 DDO393248:DDO393265 DNK393248:DNK393265 DXG393248:DXG393265 EHC393248:EHC393265 EQY393248:EQY393265 FAU393248:FAU393265 FKQ393248:FKQ393265 FUM393248:FUM393265 GEI393248:GEI393265 GOE393248:GOE393265 GYA393248:GYA393265 HHW393248:HHW393265 HRS393248:HRS393265 IBO393248:IBO393265 ILK393248:ILK393265 IVG393248:IVG393265 JFC393248:JFC393265 JOY393248:JOY393265 JYU393248:JYU393265 KIQ393248:KIQ393265 KSM393248:KSM393265 LCI393248:LCI393265 LME393248:LME393265 LWA393248:LWA393265 MFW393248:MFW393265 MPS393248:MPS393265 MZO393248:MZO393265 NJK393248:NJK393265 NTG393248:NTG393265 ODC393248:ODC393265 OMY393248:OMY393265 OWU393248:OWU393265 PGQ393248:PGQ393265 PQM393248:PQM393265 QAI393248:QAI393265 QKE393248:QKE393265 QUA393248:QUA393265 RDW393248:RDW393265 RNS393248:RNS393265 RXO393248:RXO393265 SHK393248:SHK393265 SRG393248:SRG393265 TBC393248:TBC393265 TKY393248:TKY393265 TUU393248:TUU393265 UEQ393248:UEQ393265 UOM393248:UOM393265 UYI393248:UYI393265 VIE393248:VIE393265 VSA393248:VSA393265 WBW393248:WBW393265 WLS393248:WLS393265 WVO393248:WVO393265 G458784:G458801 JC458784:JC458801 SY458784:SY458801 ACU458784:ACU458801 AMQ458784:AMQ458801 AWM458784:AWM458801 BGI458784:BGI458801 BQE458784:BQE458801 CAA458784:CAA458801 CJW458784:CJW458801 CTS458784:CTS458801 DDO458784:DDO458801 DNK458784:DNK458801 DXG458784:DXG458801 EHC458784:EHC458801 EQY458784:EQY458801 FAU458784:FAU458801 FKQ458784:FKQ458801 FUM458784:FUM458801 GEI458784:GEI458801 GOE458784:GOE458801 GYA458784:GYA458801 HHW458784:HHW458801 HRS458784:HRS458801 IBO458784:IBO458801 ILK458784:ILK458801 IVG458784:IVG458801 JFC458784:JFC458801 JOY458784:JOY458801 JYU458784:JYU458801 KIQ458784:KIQ458801 KSM458784:KSM458801 LCI458784:LCI458801 LME458784:LME458801 LWA458784:LWA458801 MFW458784:MFW458801 MPS458784:MPS458801 MZO458784:MZO458801 NJK458784:NJK458801 NTG458784:NTG458801 ODC458784:ODC458801 OMY458784:OMY458801 OWU458784:OWU458801 PGQ458784:PGQ458801 PQM458784:PQM458801 QAI458784:QAI458801 QKE458784:QKE458801 QUA458784:QUA458801 RDW458784:RDW458801 RNS458784:RNS458801 RXO458784:RXO458801 SHK458784:SHK458801 SRG458784:SRG458801 TBC458784:TBC458801 TKY458784:TKY458801 TUU458784:TUU458801 UEQ458784:UEQ458801 UOM458784:UOM458801 UYI458784:UYI458801 VIE458784:VIE458801 VSA458784:VSA458801 WBW458784:WBW458801 WLS458784:WLS458801 WVO458784:WVO458801 G524320:G524337 JC524320:JC524337 SY524320:SY524337 ACU524320:ACU524337 AMQ524320:AMQ524337 AWM524320:AWM524337 BGI524320:BGI524337 BQE524320:BQE524337 CAA524320:CAA524337 CJW524320:CJW524337 CTS524320:CTS524337 DDO524320:DDO524337 DNK524320:DNK524337 DXG524320:DXG524337 EHC524320:EHC524337 EQY524320:EQY524337 FAU524320:FAU524337 FKQ524320:FKQ524337 FUM524320:FUM524337 GEI524320:GEI524337 GOE524320:GOE524337 GYA524320:GYA524337 HHW524320:HHW524337 HRS524320:HRS524337 IBO524320:IBO524337 ILK524320:ILK524337 IVG524320:IVG524337 JFC524320:JFC524337 JOY524320:JOY524337 JYU524320:JYU524337 KIQ524320:KIQ524337 KSM524320:KSM524337 LCI524320:LCI524337 LME524320:LME524337 LWA524320:LWA524337 MFW524320:MFW524337 MPS524320:MPS524337 MZO524320:MZO524337 NJK524320:NJK524337 NTG524320:NTG524337 ODC524320:ODC524337 OMY524320:OMY524337 OWU524320:OWU524337 PGQ524320:PGQ524337 PQM524320:PQM524337 QAI524320:QAI524337 QKE524320:QKE524337 QUA524320:QUA524337 RDW524320:RDW524337 RNS524320:RNS524337 RXO524320:RXO524337 SHK524320:SHK524337 SRG524320:SRG524337 TBC524320:TBC524337 TKY524320:TKY524337 TUU524320:TUU524337 UEQ524320:UEQ524337 UOM524320:UOM524337 UYI524320:UYI524337 VIE524320:VIE524337 VSA524320:VSA524337 WBW524320:WBW524337 WLS524320:WLS524337 WVO524320:WVO524337 G589856:G589873 JC589856:JC589873 SY589856:SY589873 ACU589856:ACU589873 AMQ589856:AMQ589873 AWM589856:AWM589873 BGI589856:BGI589873 BQE589856:BQE589873 CAA589856:CAA589873 CJW589856:CJW589873 CTS589856:CTS589873 DDO589856:DDO589873 DNK589856:DNK589873 DXG589856:DXG589873 EHC589856:EHC589873 EQY589856:EQY589873 FAU589856:FAU589873 FKQ589856:FKQ589873 FUM589856:FUM589873 GEI589856:GEI589873 GOE589856:GOE589873 GYA589856:GYA589873 HHW589856:HHW589873 HRS589856:HRS589873 IBO589856:IBO589873 ILK589856:ILK589873 IVG589856:IVG589873 JFC589856:JFC589873 JOY589856:JOY589873 JYU589856:JYU589873 KIQ589856:KIQ589873 KSM589856:KSM589873 LCI589856:LCI589873 LME589856:LME589873 LWA589856:LWA589873 MFW589856:MFW589873 MPS589856:MPS589873 MZO589856:MZO589873 NJK589856:NJK589873 NTG589856:NTG589873 ODC589856:ODC589873 OMY589856:OMY589873 OWU589856:OWU589873 PGQ589856:PGQ589873 PQM589856:PQM589873 QAI589856:QAI589873 QKE589856:QKE589873 QUA589856:QUA589873 RDW589856:RDW589873 RNS589856:RNS589873 RXO589856:RXO589873 SHK589856:SHK589873 SRG589856:SRG589873 TBC589856:TBC589873 TKY589856:TKY589873 TUU589856:TUU589873 UEQ589856:UEQ589873 UOM589856:UOM589873 UYI589856:UYI589873 VIE589856:VIE589873 VSA589856:VSA589873 WBW589856:WBW589873 WLS589856:WLS589873 WVO589856:WVO589873 G655392:G655409 JC655392:JC655409 SY655392:SY655409 ACU655392:ACU655409 AMQ655392:AMQ655409 AWM655392:AWM655409 BGI655392:BGI655409 BQE655392:BQE655409 CAA655392:CAA655409 CJW655392:CJW655409 CTS655392:CTS655409 DDO655392:DDO655409 DNK655392:DNK655409 DXG655392:DXG655409 EHC655392:EHC655409 EQY655392:EQY655409 FAU655392:FAU655409 FKQ655392:FKQ655409 FUM655392:FUM655409 GEI655392:GEI655409 GOE655392:GOE655409 GYA655392:GYA655409 HHW655392:HHW655409 HRS655392:HRS655409 IBO655392:IBO655409 ILK655392:ILK655409 IVG655392:IVG655409 JFC655392:JFC655409 JOY655392:JOY655409 JYU655392:JYU655409 KIQ655392:KIQ655409 KSM655392:KSM655409 LCI655392:LCI655409 LME655392:LME655409 LWA655392:LWA655409 MFW655392:MFW655409 MPS655392:MPS655409 MZO655392:MZO655409 NJK655392:NJK655409 NTG655392:NTG655409 ODC655392:ODC655409 OMY655392:OMY655409 OWU655392:OWU655409 PGQ655392:PGQ655409 PQM655392:PQM655409 QAI655392:QAI655409 QKE655392:QKE655409 QUA655392:QUA655409 RDW655392:RDW655409 RNS655392:RNS655409 RXO655392:RXO655409 SHK655392:SHK655409 SRG655392:SRG655409 TBC655392:TBC655409 TKY655392:TKY655409 TUU655392:TUU655409 UEQ655392:UEQ655409 UOM655392:UOM655409 UYI655392:UYI655409 VIE655392:VIE655409 VSA655392:VSA655409 WBW655392:WBW655409 WLS655392:WLS655409 WVO655392:WVO655409 G720928:G720945 JC720928:JC720945 SY720928:SY720945 ACU720928:ACU720945 AMQ720928:AMQ720945 AWM720928:AWM720945 BGI720928:BGI720945 BQE720928:BQE720945 CAA720928:CAA720945 CJW720928:CJW720945 CTS720928:CTS720945 DDO720928:DDO720945 DNK720928:DNK720945 DXG720928:DXG720945 EHC720928:EHC720945 EQY720928:EQY720945 FAU720928:FAU720945 FKQ720928:FKQ720945 FUM720928:FUM720945 GEI720928:GEI720945 GOE720928:GOE720945 GYA720928:GYA720945 HHW720928:HHW720945 HRS720928:HRS720945 IBO720928:IBO720945 ILK720928:ILK720945 IVG720928:IVG720945 JFC720928:JFC720945 JOY720928:JOY720945 JYU720928:JYU720945 KIQ720928:KIQ720945 KSM720928:KSM720945 LCI720928:LCI720945 LME720928:LME720945 LWA720928:LWA720945 MFW720928:MFW720945 MPS720928:MPS720945 MZO720928:MZO720945 NJK720928:NJK720945 NTG720928:NTG720945 ODC720928:ODC720945 OMY720928:OMY720945 OWU720928:OWU720945 PGQ720928:PGQ720945 PQM720928:PQM720945 QAI720928:QAI720945 QKE720928:QKE720945 QUA720928:QUA720945 RDW720928:RDW720945 RNS720928:RNS720945 RXO720928:RXO720945 SHK720928:SHK720945 SRG720928:SRG720945 TBC720928:TBC720945 TKY720928:TKY720945 TUU720928:TUU720945 UEQ720928:UEQ720945 UOM720928:UOM720945 UYI720928:UYI720945 VIE720928:VIE720945 VSA720928:VSA720945 WBW720928:WBW720945 WLS720928:WLS720945 WVO720928:WVO720945 G786464:G786481 JC786464:JC786481 SY786464:SY786481 ACU786464:ACU786481 AMQ786464:AMQ786481 AWM786464:AWM786481 BGI786464:BGI786481 BQE786464:BQE786481 CAA786464:CAA786481 CJW786464:CJW786481 CTS786464:CTS786481 DDO786464:DDO786481 DNK786464:DNK786481 DXG786464:DXG786481 EHC786464:EHC786481 EQY786464:EQY786481 FAU786464:FAU786481 FKQ786464:FKQ786481 FUM786464:FUM786481 GEI786464:GEI786481 GOE786464:GOE786481 GYA786464:GYA786481 HHW786464:HHW786481 HRS786464:HRS786481 IBO786464:IBO786481 ILK786464:ILK786481 IVG786464:IVG786481 JFC786464:JFC786481 JOY786464:JOY786481 JYU786464:JYU786481 KIQ786464:KIQ786481 KSM786464:KSM786481 LCI786464:LCI786481 LME786464:LME786481 LWA786464:LWA786481 MFW786464:MFW786481 MPS786464:MPS786481 MZO786464:MZO786481 NJK786464:NJK786481 NTG786464:NTG786481 ODC786464:ODC786481 OMY786464:OMY786481 OWU786464:OWU786481 PGQ786464:PGQ786481 PQM786464:PQM786481 QAI786464:QAI786481 QKE786464:QKE786481 QUA786464:QUA786481 RDW786464:RDW786481 RNS786464:RNS786481 RXO786464:RXO786481 SHK786464:SHK786481 SRG786464:SRG786481 TBC786464:TBC786481 TKY786464:TKY786481 TUU786464:TUU786481 UEQ786464:UEQ786481 UOM786464:UOM786481 UYI786464:UYI786481 VIE786464:VIE786481 VSA786464:VSA786481 WBW786464:WBW786481 WLS786464:WLS786481 WVO786464:WVO786481 G852000:G852017 JC852000:JC852017 SY852000:SY852017 ACU852000:ACU852017 AMQ852000:AMQ852017 AWM852000:AWM852017 BGI852000:BGI852017 BQE852000:BQE852017 CAA852000:CAA852017 CJW852000:CJW852017 CTS852000:CTS852017 DDO852000:DDO852017 DNK852000:DNK852017 DXG852000:DXG852017 EHC852000:EHC852017 EQY852000:EQY852017 FAU852000:FAU852017 FKQ852000:FKQ852017 FUM852000:FUM852017 GEI852000:GEI852017 GOE852000:GOE852017 GYA852000:GYA852017 HHW852000:HHW852017 HRS852000:HRS852017 IBO852000:IBO852017 ILK852000:ILK852017 IVG852000:IVG852017 JFC852000:JFC852017 JOY852000:JOY852017 JYU852000:JYU852017 KIQ852000:KIQ852017 KSM852000:KSM852017 LCI852000:LCI852017 LME852000:LME852017 LWA852000:LWA852017 MFW852000:MFW852017 MPS852000:MPS852017 MZO852000:MZO852017 NJK852000:NJK852017 NTG852000:NTG852017 ODC852000:ODC852017 OMY852000:OMY852017 OWU852000:OWU852017 PGQ852000:PGQ852017 PQM852000:PQM852017 QAI852000:QAI852017 QKE852000:QKE852017 QUA852000:QUA852017 RDW852000:RDW852017 RNS852000:RNS852017 RXO852000:RXO852017 SHK852000:SHK852017 SRG852000:SRG852017 TBC852000:TBC852017 TKY852000:TKY852017 TUU852000:TUU852017 UEQ852000:UEQ852017 UOM852000:UOM852017 UYI852000:UYI852017 VIE852000:VIE852017 VSA852000:VSA852017 WBW852000:WBW852017 WLS852000:WLS852017 WVO852000:WVO852017 G917536:G917553 JC917536:JC917553 SY917536:SY917553 ACU917536:ACU917553 AMQ917536:AMQ917553 AWM917536:AWM917553 BGI917536:BGI917553 BQE917536:BQE917553 CAA917536:CAA917553 CJW917536:CJW917553 CTS917536:CTS917553 DDO917536:DDO917553 DNK917536:DNK917553 DXG917536:DXG917553 EHC917536:EHC917553 EQY917536:EQY917553 FAU917536:FAU917553 FKQ917536:FKQ917553 FUM917536:FUM917553 GEI917536:GEI917553 GOE917536:GOE917553 GYA917536:GYA917553 HHW917536:HHW917553 HRS917536:HRS917553 IBO917536:IBO917553 ILK917536:ILK917553 IVG917536:IVG917553 JFC917536:JFC917553 JOY917536:JOY917553 JYU917536:JYU917553 KIQ917536:KIQ917553 KSM917536:KSM917553 LCI917536:LCI917553 LME917536:LME917553 LWA917536:LWA917553 MFW917536:MFW917553 MPS917536:MPS917553 MZO917536:MZO917553 NJK917536:NJK917553 NTG917536:NTG917553 ODC917536:ODC917553 OMY917536:OMY917553 OWU917536:OWU917553 PGQ917536:PGQ917553 PQM917536:PQM917553 QAI917536:QAI917553 QKE917536:QKE917553 QUA917536:QUA917553 RDW917536:RDW917553 RNS917536:RNS917553 RXO917536:RXO917553 SHK917536:SHK917553 SRG917536:SRG917553 TBC917536:TBC917553 TKY917536:TKY917553 TUU917536:TUU917553 UEQ917536:UEQ917553 UOM917536:UOM917553 UYI917536:UYI917553 VIE917536:VIE917553 VSA917536:VSA917553 WBW917536:WBW917553 WLS917536:WLS917553 WVO917536:WVO917553 G983072:G983089 JC983072:JC983089 SY983072:SY983089 ACU983072:ACU983089 AMQ983072:AMQ983089 AWM983072:AWM983089 BGI983072:BGI983089 BQE983072:BQE983089 CAA983072:CAA983089 CJW983072:CJW983089 CTS983072:CTS983089 DDO983072:DDO983089 DNK983072:DNK983089 DXG983072:DXG983089 EHC983072:EHC983089 EQY983072:EQY983089 FAU983072:FAU983089 FKQ983072:FKQ983089 FUM983072:FUM983089 GEI983072:GEI983089 GOE983072:GOE983089 GYA983072:GYA983089 HHW983072:HHW983089 HRS983072:HRS983089 IBO983072:IBO983089 ILK983072:ILK983089 IVG983072:IVG983089 JFC983072:JFC983089 JOY983072:JOY983089 JYU983072:JYU983089 KIQ983072:KIQ983089 KSM983072:KSM983089 LCI983072:LCI983089 LME983072:LME983089 LWA983072:LWA983089 MFW983072:MFW983089 MPS983072:MPS983089 MZO983072:MZO983089 NJK983072:NJK983089 NTG983072:NTG983089 ODC983072:ODC983089 OMY983072:OMY983089 OWU983072:OWU983089 PGQ983072:PGQ983089 PQM983072:PQM983089 QAI983072:QAI983089 QKE983072:QKE983089 QUA983072:QUA983089 RDW983072:RDW983089 RNS983072:RNS983089 RXO983072:RXO983089 SHK983072:SHK983089 SRG983072:SRG983089 TBC983072:TBC983089 TKY983072:TKY983089 TUU983072:TUU983089 UEQ983072:UEQ983089 UOM983072:UOM983089 UYI983072:UYI983089 VIE983072:VIE983089 VSA983072:VSA983089 WBW983072:WBW983089 WLS983072:WLS983089 WVO983072:WVO983089">
      <formula1>$R$69:$R$89</formula1>
    </dataValidation>
    <dataValidation type="list" allowBlank="1" showInputMessage="1" showErrorMessage="1" sqref="L32:L49 JH32:JH49 TD32:TD49 ACZ32:ACZ49 AMV32:AMV49 AWR32:AWR49 BGN32:BGN49 BQJ32:BQJ49 CAF32:CAF49 CKB32:CKB49 CTX32:CTX49 DDT32:DDT49 DNP32:DNP49 DXL32:DXL49 EHH32:EHH49 ERD32:ERD49 FAZ32:FAZ49 FKV32:FKV49 FUR32:FUR49 GEN32:GEN49 GOJ32:GOJ49 GYF32:GYF49 HIB32:HIB49 HRX32:HRX49 IBT32:IBT49 ILP32:ILP49 IVL32:IVL49 JFH32:JFH49 JPD32:JPD49 JYZ32:JYZ49 KIV32:KIV49 KSR32:KSR49 LCN32:LCN49 LMJ32:LMJ49 LWF32:LWF49 MGB32:MGB49 MPX32:MPX49 MZT32:MZT49 NJP32:NJP49 NTL32:NTL49 ODH32:ODH49 OND32:OND49 OWZ32:OWZ49 PGV32:PGV49 PQR32:PQR49 QAN32:QAN49 QKJ32:QKJ49 QUF32:QUF49 REB32:REB49 RNX32:RNX49 RXT32:RXT49 SHP32:SHP49 SRL32:SRL49 TBH32:TBH49 TLD32:TLD49 TUZ32:TUZ49 UEV32:UEV49 UOR32:UOR49 UYN32:UYN49 VIJ32:VIJ49 VSF32:VSF49 WCB32:WCB49 WLX32:WLX49 WVT32:WVT49 L65568:L65585 JH65568:JH65585 TD65568:TD65585 ACZ65568:ACZ65585 AMV65568:AMV65585 AWR65568:AWR65585 BGN65568:BGN65585 BQJ65568:BQJ65585 CAF65568:CAF65585 CKB65568:CKB65585 CTX65568:CTX65585 DDT65568:DDT65585 DNP65568:DNP65585 DXL65568:DXL65585 EHH65568:EHH65585 ERD65568:ERD65585 FAZ65568:FAZ65585 FKV65568:FKV65585 FUR65568:FUR65585 GEN65568:GEN65585 GOJ65568:GOJ65585 GYF65568:GYF65585 HIB65568:HIB65585 HRX65568:HRX65585 IBT65568:IBT65585 ILP65568:ILP65585 IVL65568:IVL65585 JFH65568:JFH65585 JPD65568:JPD65585 JYZ65568:JYZ65585 KIV65568:KIV65585 KSR65568:KSR65585 LCN65568:LCN65585 LMJ65568:LMJ65585 LWF65568:LWF65585 MGB65568:MGB65585 MPX65568:MPX65585 MZT65568:MZT65585 NJP65568:NJP65585 NTL65568:NTL65585 ODH65568:ODH65585 OND65568:OND65585 OWZ65568:OWZ65585 PGV65568:PGV65585 PQR65568:PQR65585 QAN65568:QAN65585 QKJ65568:QKJ65585 QUF65568:QUF65585 REB65568:REB65585 RNX65568:RNX65585 RXT65568:RXT65585 SHP65568:SHP65585 SRL65568:SRL65585 TBH65568:TBH65585 TLD65568:TLD65585 TUZ65568:TUZ65585 UEV65568:UEV65585 UOR65568:UOR65585 UYN65568:UYN65585 VIJ65568:VIJ65585 VSF65568:VSF65585 WCB65568:WCB65585 WLX65568:WLX65585 WVT65568:WVT65585 L131104:L131121 JH131104:JH131121 TD131104:TD131121 ACZ131104:ACZ131121 AMV131104:AMV131121 AWR131104:AWR131121 BGN131104:BGN131121 BQJ131104:BQJ131121 CAF131104:CAF131121 CKB131104:CKB131121 CTX131104:CTX131121 DDT131104:DDT131121 DNP131104:DNP131121 DXL131104:DXL131121 EHH131104:EHH131121 ERD131104:ERD131121 FAZ131104:FAZ131121 FKV131104:FKV131121 FUR131104:FUR131121 GEN131104:GEN131121 GOJ131104:GOJ131121 GYF131104:GYF131121 HIB131104:HIB131121 HRX131104:HRX131121 IBT131104:IBT131121 ILP131104:ILP131121 IVL131104:IVL131121 JFH131104:JFH131121 JPD131104:JPD131121 JYZ131104:JYZ131121 KIV131104:KIV131121 KSR131104:KSR131121 LCN131104:LCN131121 LMJ131104:LMJ131121 LWF131104:LWF131121 MGB131104:MGB131121 MPX131104:MPX131121 MZT131104:MZT131121 NJP131104:NJP131121 NTL131104:NTL131121 ODH131104:ODH131121 OND131104:OND131121 OWZ131104:OWZ131121 PGV131104:PGV131121 PQR131104:PQR131121 QAN131104:QAN131121 QKJ131104:QKJ131121 QUF131104:QUF131121 REB131104:REB131121 RNX131104:RNX131121 RXT131104:RXT131121 SHP131104:SHP131121 SRL131104:SRL131121 TBH131104:TBH131121 TLD131104:TLD131121 TUZ131104:TUZ131121 UEV131104:UEV131121 UOR131104:UOR131121 UYN131104:UYN131121 VIJ131104:VIJ131121 VSF131104:VSF131121 WCB131104:WCB131121 WLX131104:WLX131121 WVT131104:WVT131121 L196640:L196657 JH196640:JH196657 TD196640:TD196657 ACZ196640:ACZ196657 AMV196640:AMV196657 AWR196640:AWR196657 BGN196640:BGN196657 BQJ196640:BQJ196657 CAF196640:CAF196657 CKB196640:CKB196657 CTX196640:CTX196657 DDT196640:DDT196657 DNP196640:DNP196657 DXL196640:DXL196657 EHH196640:EHH196657 ERD196640:ERD196657 FAZ196640:FAZ196657 FKV196640:FKV196657 FUR196640:FUR196657 GEN196640:GEN196657 GOJ196640:GOJ196657 GYF196640:GYF196657 HIB196640:HIB196657 HRX196640:HRX196657 IBT196640:IBT196657 ILP196640:ILP196657 IVL196640:IVL196657 JFH196640:JFH196657 JPD196640:JPD196657 JYZ196640:JYZ196657 KIV196640:KIV196657 KSR196640:KSR196657 LCN196640:LCN196657 LMJ196640:LMJ196657 LWF196640:LWF196657 MGB196640:MGB196657 MPX196640:MPX196657 MZT196640:MZT196657 NJP196640:NJP196657 NTL196640:NTL196657 ODH196640:ODH196657 OND196640:OND196657 OWZ196640:OWZ196657 PGV196640:PGV196657 PQR196640:PQR196657 QAN196640:QAN196657 QKJ196640:QKJ196657 QUF196640:QUF196657 REB196640:REB196657 RNX196640:RNX196657 RXT196640:RXT196657 SHP196640:SHP196657 SRL196640:SRL196657 TBH196640:TBH196657 TLD196640:TLD196657 TUZ196640:TUZ196657 UEV196640:UEV196657 UOR196640:UOR196657 UYN196640:UYN196657 VIJ196640:VIJ196657 VSF196640:VSF196657 WCB196640:WCB196657 WLX196640:WLX196657 WVT196640:WVT196657 L262176:L262193 JH262176:JH262193 TD262176:TD262193 ACZ262176:ACZ262193 AMV262176:AMV262193 AWR262176:AWR262193 BGN262176:BGN262193 BQJ262176:BQJ262193 CAF262176:CAF262193 CKB262176:CKB262193 CTX262176:CTX262193 DDT262176:DDT262193 DNP262176:DNP262193 DXL262176:DXL262193 EHH262176:EHH262193 ERD262176:ERD262193 FAZ262176:FAZ262193 FKV262176:FKV262193 FUR262176:FUR262193 GEN262176:GEN262193 GOJ262176:GOJ262193 GYF262176:GYF262193 HIB262176:HIB262193 HRX262176:HRX262193 IBT262176:IBT262193 ILP262176:ILP262193 IVL262176:IVL262193 JFH262176:JFH262193 JPD262176:JPD262193 JYZ262176:JYZ262193 KIV262176:KIV262193 KSR262176:KSR262193 LCN262176:LCN262193 LMJ262176:LMJ262193 LWF262176:LWF262193 MGB262176:MGB262193 MPX262176:MPX262193 MZT262176:MZT262193 NJP262176:NJP262193 NTL262176:NTL262193 ODH262176:ODH262193 OND262176:OND262193 OWZ262176:OWZ262193 PGV262176:PGV262193 PQR262176:PQR262193 QAN262176:QAN262193 QKJ262176:QKJ262193 QUF262176:QUF262193 REB262176:REB262193 RNX262176:RNX262193 RXT262176:RXT262193 SHP262176:SHP262193 SRL262176:SRL262193 TBH262176:TBH262193 TLD262176:TLD262193 TUZ262176:TUZ262193 UEV262176:UEV262193 UOR262176:UOR262193 UYN262176:UYN262193 VIJ262176:VIJ262193 VSF262176:VSF262193 WCB262176:WCB262193 WLX262176:WLX262193 WVT262176:WVT262193 L327712:L327729 JH327712:JH327729 TD327712:TD327729 ACZ327712:ACZ327729 AMV327712:AMV327729 AWR327712:AWR327729 BGN327712:BGN327729 BQJ327712:BQJ327729 CAF327712:CAF327729 CKB327712:CKB327729 CTX327712:CTX327729 DDT327712:DDT327729 DNP327712:DNP327729 DXL327712:DXL327729 EHH327712:EHH327729 ERD327712:ERD327729 FAZ327712:FAZ327729 FKV327712:FKV327729 FUR327712:FUR327729 GEN327712:GEN327729 GOJ327712:GOJ327729 GYF327712:GYF327729 HIB327712:HIB327729 HRX327712:HRX327729 IBT327712:IBT327729 ILP327712:ILP327729 IVL327712:IVL327729 JFH327712:JFH327729 JPD327712:JPD327729 JYZ327712:JYZ327729 KIV327712:KIV327729 KSR327712:KSR327729 LCN327712:LCN327729 LMJ327712:LMJ327729 LWF327712:LWF327729 MGB327712:MGB327729 MPX327712:MPX327729 MZT327712:MZT327729 NJP327712:NJP327729 NTL327712:NTL327729 ODH327712:ODH327729 OND327712:OND327729 OWZ327712:OWZ327729 PGV327712:PGV327729 PQR327712:PQR327729 QAN327712:QAN327729 QKJ327712:QKJ327729 QUF327712:QUF327729 REB327712:REB327729 RNX327712:RNX327729 RXT327712:RXT327729 SHP327712:SHP327729 SRL327712:SRL327729 TBH327712:TBH327729 TLD327712:TLD327729 TUZ327712:TUZ327729 UEV327712:UEV327729 UOR327712:UOR327729 UYN327712:UYN327729 VIJ327712:VIJ327729 VSF327712:VSF327729 WCB327712:WCB327729 WLX327712:WLX327729 WVT327712:WVT327729 L393248:L393265 JH393248:JH393265 TD393248:TD393265 ACZ393248:ACZ393265 AMV393248:AMV393265 AWR393248:AWR393265 BGN393248:BGN393265 BQJ393248:BQJ393265 CAF393248:CAF393265 CKB393248:CKB393265 CTX393248:CTX393265 DDT393248:DDT393265 DNP393248:DNP393265 DXL393248:DXL393265 EHH393248:EHH393265 ERD393248:ERD393265 FAZ393248:FAZ393265 FKV393248:FKV393265 FUR393248:FUR393265 GEN393248:GEN393265 GOJ393248:GOJ393265 GYF393248:GYF393265 HIB393248:HIB393265 HRX393248:HRX393265 IBT393248:IBT393265 ILP393248:ILP393265 IVL393248:IVL393265 JFH393248:JFH393265 JPD393248:JPD393265 JYZ393248:JYZ393265 KIV393248:KIV393265 KSR393248:KSR393265 LCN393248:LCN393265 LMJ393248:LMJ393265 LWF393248:LWF393265 MGB393248:MGB393265 MPX393248:MPX393265 MZT393248:MZT393265 NJP393248:NJP393265 NTL393248:NTL393265 ODH393248:ODH393265 OND393248:OND393265 OWZ393248:OWZ393265 PGV393248:PGV393265 PQR393248:PQR393265 QAN393248:QAN393265 QKJ393248:QKJ393265 QUF393248:QUF393265 REB393248:REB393265 RNX393248:RNX393265 RXT393248:RXT393265 SHP393248:SHP393265 SRL393248:SRL393265 TBH393248:TBH393265 TLD393248:TLD393265 TUZ393248:TUZ393265 UEV393248:UEV393265 UOR393248:UOR393265 UYN393248:UYN393265 VIJ393248:VIJ393265 VSF393248:VSF393265 WCB393248:WCB393265 WLX393248:WLX393265 WVT393248:WVT393265 L458784:L458801 JH458784:JH458801 TD458784:TD458801 ACZ458784:ACZ458801 AMV458784:AMV458801 AWR458784:AWR458801 BGN458784:BGN458801 BQJ458784:BQJ458801 CAF458784:CAF458801 CKB458784:CKB458801 CTX458784:CTX458801 DDT458784:DDT458801 DNP458784:DNP458801 DXL458784:DXL458801 EHH458784:EHH458801 ERD458784:ERD458801 FAZ458784:FAZ458801 FKV458784:FKV458801 FUR458784:FUR458801 GEN458784:GEN458801 GOJ458784:GOJ458801 GYF458784:GYF458801 HIB458784:HIB458801 HRX458784:HRX458801 IBT458784:IBT458801 ILP458784:ILP458801 IVL458784:IVL458801 JFH458784:JFH458801 JPD458784:JPD458801 JYZ458784:JYZ458801 KIV458784:KIV458801 KSR458784:KSR458801 LCN458784:LCN458801 LMJ458784:LMJ458801 LWF458784:LWF458801 MGB458784:MGB458801 MPX458784:MPX458801 MZT458784:MZT458801 NJP458784:NJP458801 NTL458784:NTL458801 ODH458784:ODH458801 OND458784:OND458801 OWZ458784:OWZ458801 PGV458784:PGV458801 PQR458784:PQR458801 QAN458784:QAN458801 QKJ458784:QKJ458801 QUF458784:QUF458801 REB458784:REB458801 RNX458784:RNX458801 RXT458784:RXT458801 SHP458784:SHP458801 SRL458784:SRL458801 TBH458784:TBH458801 TLD458784:TLD458801 TUZ458784:TUZ458801 UEV458784:UEV458801 UOR458784:UOR458801 UYN458784:UYN458801 VIJ458784:VIJ458801 VSF458784:VSF458801 WCB458784:WCB458801 WLX458784:WLX458801 WVT458784:WVT458801 L524320:L524337 JH524320:JH524337 TD524320:TD524337 ACZ524320:ACZ524337 AMV524320:AMV524337 AWR524320:AWR524337 BGN524320:BGN524337 BQJ524320:BQJ524337 CAF524320:CAF524337 CKB524320:CKB524337 CTX524320:CTX524337 DDT524320:DDT524337 DNP524320:DNP524337 DXL524320:DXL524337 EHH524320:EHH524337 ERD524320:ERD524337 FAZ524320:FAZ524337 FKV524320:FKV524337 FUR524320:FUR524337 GEN524320:GEN524337 GOJ524320:GOJ524337 GYF524320:GYF524337 HIB524320:HIB524337 HRX524320:HRX524337 IBT524320:IBT524337 ILP524320:ILP524337 IVL524320:IVL524337 JFH524320:JFH524337 JPD524320:JPD524337 JYZ524320:JYZ524337 KIV524320:KIV524337 KSR524320:KSR524337 LCN524320:LCN524337 LMJ524320:LMJ524337 LWF524320:LWF524337 MGB524320:MGB524337 MPX524320:MPX524337 MZT524320:MZT524337 NJP524320:NJP524337 NTL524320:NTL524337 ODH524320:ODH524337 OND524320:OND524337 OWZ524320:OWZ524337 PGV524320:PGV524337 PQR524320:PQR524337 QAN524320:QAN524337 QKJ524320:QKJ524337 QUF524320:QUF524337 REB524320:REB524337 RNX524320:RNX524337 RXT524320:RXT524337 SHP524320:SHP524337 SRL524320:SRL524337 TBH524320:TBH524337 TLD524320:TLD524337 TUZ524320:TUZ524337 UEV524320:UEV524337 UOR524320:UOR524337 UYN524320:UYN524337 VIJ524320:VIJ524337 VSF524320:VSF524337 WCB524320:WCB524337 WLX524320:WLX524337 WVT524320:WVT524337 L589856:L589873 JH589856:JH589873 TD589856:TD589873 ACZ589856:ACZ589873 AMV589856:AMV589873 AWR589856:AWR589873 BGN589856:BGN589873 BQJ589856:BQJ589873 CAF589856:CAF589873 CKB589856:CKB589873 CTX589856:CTX589873 DDT589856:DDT589873 DNP589856:DNP589873 DXL589856:DXL589873 EHH589856:EHH589873 ERD589856:ERD589873 FAZ589856:FAZ589873 FKV589856:FKV589873 FUR589856:FUR589873 GEN589856:GEN589873 GOJ589856:GOJ589873 GYF589856:GYF589873 HIB589856:HIB589873 HRX589856:HRX589873 IBT589856:IBT589873 ILP589856:ILP589873 IVL589856:IVL589873 JFH589856:JFH589873 JPD589856:JPD589873 JYZ589856:JYZ589873 KIV589856:KIV589873 KSR589856:KSR589873 LCN589856:LCN589873 LMJ589856:LMJ589873 LWF589856:LWF589873 MGB589856:MGB589873 MPX589856:MPX589873 MZT589856:MZT589873 NJP589856:NJP589873 NTL589856:NTL589873 ODH589856:ODH589873 OND589856:OND589873 OWZ589856:OWZ589873 PGV589856:PGV589873 PQR589856:PQR589873 QAN589856:QAN589873 QKJ589856:QKJ589873 QUF589856:QUF589873 REB589856:REB589873 RNX589856:RNX589873 RXT589856:RXT589873 SHP589856:SHP589873 SRL589856:SRL589873 TBH589856:TBH589873 TLD589856:TLD589873 TUZ589856:TUZ589873 UEV589856:UEV589873 UOR589856:UOR589873 UYN589856:UYN589873 VIJ589856:VIJ589873 VSF589856:VSF589873 WCB589856:WCB589873 WLX589856:WLX589873 WVT589856:WVT589873 L655392:L655409 JH655392:JH655409 TD655392:TD655409 ACZ655392:ACZ655409 AMV655392:AMV655409 AWR655392:AWR655409 BGN655392:BGN655409 BQJ655392:BQJ655409 CAF655392:CAF655409 CKB655392:CKB655409 CTX655392:CTX655409 DDT655392:DDT655409 DNP655392:DNP655409 DXL655392:DXL655409 EHH655392:EHH655409 ERD655392:ERD655409 FAZ655392:FAZ655409 FKV655392:FKV655409 FUR655392:FUR655409 GEN655392:GEN655409 GOJ655392:GOJ655409 GYF655392:GYF655409 HIB655392:HIB655409 HRX655392:HRX655409 IBT655392:IBT655409 ILP655392:ILP655409 IVL655392:IVL655409 JFH655392:JFH655409 JPD655392:JPD655409 JYZ655392:JYZ655409 KIV655392:KIV655409 KSR655392:KSR655409 LCN655392:LCN655409 LMJ655392:LMJ655409 LWF655392:LWF655409 MGB655392:MGB655409 MPX655392:MPX655409 MZT655392:MZT655409 NJP655392:NJP655409 NTL655392:NTL655409 ODH655392:ODH655409 OND655392:OND655409 OWZ655392:OWZ655409 PGV655392:PGV655409 PQR655392:PQR655409 QAN655392:QAN655409 QKJ655392:QKJ655409 QUF655392:QUF655409 REB655392:REB655409 RNX655392:RNX655409 RXT655392:RXT655409 SHP655392:SHP655409 SRL655392:SRL655409 TBH655392:TBH655409 TLD655392:TLD655409 TUZ655392:TUZ655409 UEV655392:UEV655409 UOR655392:UOR655409 UYN655392:UYN655409 VIJ655392:VIJ655409 VSF655392:VSF655409 WCB655392:WCB655409 WLX655392:WLX655409 WVT655392:WVT655409 L720928:L720945 JH720928:JH720945 TD720928:TD720945 ACZ720928:ACZ720945 AMV720928:AMV720945 AWR720928:AWR720945 BGN720928:BGN720945 BQJ720928:BQJ720945 CAF720928:CAF720945 CKB720928:CKB720945 CTX720928:CTX720945 DDT720928:DDT720945 DNP720928:DNP720945 DXL720928:DXL720945 EHH720928:EHH720945 ERD720928:ERD720945 FAZ720928:FAZ720945 FKV720928:FKV720945 FUR720928:FUR720945 GEN720928:GEN720945 GOJ720928:GOJ720945 GYF720928:GYF720945 HIB720928:HIB720945 HRX720928:HRX720945 IBT720928:IBT720945 ILP720928:ILP720945 IVL720928:IVL720945 JFH720928:JFH720945 JPD720928:JPD720945 JYZ720928:JYZ720945 KIV720928:KIV720945 KSR720928:KSR720945 LCN720928:LCN720945 LMJ720928:LMJ720945 LWF720928:LWF720945 MGB720928:MGB720945 MPX720928:MPX720945 MZT720928:MZT720945 NJP720928:NJP720945 NTL720928:NTL720945 ODH720928:ODH720945 OND720928:OND720945 OWZ720928:OWZ720945 PGV720928:PGV720945 PQR720928:PQR720945 QAN720928:QAN720945 QKJ720928:QKJ720945 QUF720928:QUF720945 REB720928:REB720945 RNX720928:RNX720945 RXT720928:RXT720945 SHP720928:SHP720945 SRL720928:SRL720945 TBH720928:TBH720945 TLD720928:TLD720945 TUZ720928:TUZ720945 UEV720928:UEV720945 UOR720928:UOR720945 UYN720928:UYN720945 VIJ720928:VIJ720945 VSF720928:VSF720945 WCB720928:WCB720945 WLX720928:WLX720945 WVT720928:WVT720945 L786464:L786481 JH786464:JH786481 TD786464:TD786481 ACZ786464:ACZ786481 AMV786464:AMV786481 AWR786464:AWR786481 BGN786464:BGN786481 BQJ786464:BQJ786481 CAF786464:CAF786481 CKB786464:CKB786481 CTX786464:CTX786481 DDT786464:DDT786481 DNP786464:DNP786481 DXL786464:DXL786481 EHH786464:EHH786481 ERD786464:ERD786481 FAZ786464:FAZ786481 FKV786464:FKV786481 FUR786464:FUR786481 GEN786464:GEN786481 GOJ786464:GOJ786481 GYF786464:GYF786481 HIB786464:HIB786481 HRX786464:HRX786481 IBT786464:IBT786481 ILP786464:ILP786481 IVL786464:IVL786481 JFH786464:JFH786481 JPD786464:JPD786481 JYZ786464:JYZ786481 KIV786464:KIV786481 KSR786464:KSR786481 LCN786464:LCN786481 LMJ786464:LMJ786481 LWF786464:LWF786481 MGB786464:MGB786481 MPX786464:MPX786481 MZT786464:MZT786481 NJP786464:NJP786481 NTL786464:NTL786481 ODH786464:ODH786481 OND786464:OND786481 OWZ786464:OWZ786481 PGV786464:PGV786481 PQR786464:PQR786481 QAN786464:QAN786481 QKJ786464:QKJ786481 QUF786464:QUF786481 REB786464:REB786481 RNX786464:RNX786481 RXT786464:RXT786481 SHP786464:SHP786481 SRL786464:SRL786481 TBH786464:TBH786481 TLD786464:TLD786481 TUZ786464:TUZ786481 UEV786464:UEV786481 UOR786464:UOR786481 UYN786464:UYN786481 VIJ786464:VIJ786481 VSF786464:VSF786481 WCB786464:WCB786481 WLX786464:WLX786481 WVT786464:WVT786481 L852000:L852017 JH852000:JH852017 TD852000:TD852017 ACZ852000:ACZ852017 AMV852000:AMV852017 AWR852000:AWR852017 BGN852000:BGN852017 BQJ852000:BQJ852017 CAF852000:CAF852017 CKB852000:CKB852017 CTX852000:CTX852017 DDT852000:DDT852017 DNP852000:DNP852017 DXL852000:DXL852017 EHH852000:EHH852017 ERD852000:ERD852017 FAZ852000:FAZ852017 FKV852000:FKV852017 FUR852000:FUR852017 GEN852000:GEN852017 GOJ852000:GOJ852017 GYF852000:GYF852017 HIB852000:HIB852017 HRX852000:HRX852017 IBT852000:IBT852017 ILP852000:ILP852017 IVL852000:IVL852017 JFH852000:JFH852017 JPD852000:JPD852017 JYZ852000:JYZ852017 KIV852000:KIV852017 KSR852000:KSR852017 LCN852000:LCN852017 LMJ852000:LMJ852017 LWF852000:LWF852017 MGB852000:MGB852017 MPX852000:MPX852017 MZT852000:MZT852017 NJP852000:NJP852017 NTL852000:NTL852017 ODH852000:ODH852017 OND852000:OND852017 OWZ852000:OWZ852017 PGV852000:PGV852017 PQR852000:PQR852017 QAN852000:QAN852017 QKJ852000:QKJ852017 QUF852000:QUF852017 REB852000:REB852017 RNX852000:RNX852017 RXT852000:RXT852017 SHP852000:SHP852017 SRL852000:SRL852017 TBH852000:TBH852017 TLD852000:TLD852017 TUZ852000:TUZ852017 UEV852000:UEV852017 UOR852000:UOR852017 UYN852000:UYN852017 VIJ852000:VIJ852017 VSF852000:VSF852017 WCB852000:WCB852017 WLX852000:WLX852017 WVT852000:WVT852017 L917536:L917553 JH917536:JH917553 TD917536:TD917553 ACZ917536:ACZ917553 AMV917536:AMV917553 AWR917536:AWR917553 BGN917536:BGN917553 BQJ917536:BQJ917553 CAF917536:CAF917553 CKB917536:CKB917553 CTX917536:CTX917553 DDT917536:DDT917553 DNP917536:DNP917553 DXL917536:DXL917553 EHH917536:EHH917553 ERD917536:ERD917553 FAZ917536:FAZ917553 FKV917536:FKV917553 FUR917536:FUR917553 GEN917536:GEN917553 GOJ917536:GOJ917553 GYF917536:GYF917553 HIB917536:HIB917553 HRX917536:HRX917553 IBT917536:IBT917553 ILP917536:ILP917553 IVL917536:IVL917553 JFH917536:JFH917553 JPD917536:JPD917553 JYZ917536:JYZ917553 KIV917536:KIV917553 KSR917536:KSR917553 LCN917536:LCN917553 LMJ917536:LMJ917553 LWF917536:LWF917553 MGB917536:MGB917553 MPX917536:MPX917553 MZT917536:MZT917553 NJP917536:NJP917553 NTL917536:NTL917553 ODH917536:ODH917553 OND917536:OND917553 OWZ917536:OWZ917553 PGV917536:PGV917553 PQR917536:PQR917553 QAN917536:QAN917553 QKJ917536:QKJ917553 QUF917536:QUF917553 REB917536:REB917553 RNX917536:RNX917553 RXT917536:RXT917553 SHP917536:SHP917553 SRL917536:SRL917553 TBH917536:TBH917553 TLD917536:TLD917553 TUZ917536:TUZ917553 UEV917536:UEV917553 UOR917536:UOR917553 UYN917536:UYN917553 VIJ917536:VIJ917553 VSF917536:VSF917553 WCB917536:WCB917553 WLX917536:WLX917553 WVT917536:WVT917553 L983072:L983089 JH983072:JH983089 TD983072:TD983089 ACZ983072:ACZ983089 AMV983072:AMV983089 AWR983072:AWR983089 BGN983072:BGN983089 BQJ983072:BQJ983089 CAF983072:CAF983089 CKB983072:CKB983089 CTX983072:CTX983089 DDT983072:DDT983089 DNP983072:DNP983089 DXL983072:DXL983089 EHH983072:EHH983089 ERD983072:ERD983089 FAZ983072:FAZ983089 FKV983072:FKV983089 FUR983072:FUR983089 GEN983072:GEN983089 GOJ983072:GOJ983089 GYF983072:GYF983089 HIB983072:HIB983089 HRX983072:HRX983089 IBT983072:IBT983089 ILP983072:ILP983089 IVL983072:IVL983089 JFH983072:JFH983089 JPD983072:JPD983089 JYZ983072:JYZ983089 KIV983072:KIV983089 KSR983072:KSR983089 LCN983072:LCN983089 LMJ983072:LMJ983089 LWF983072:LWF983089 MGB983072:MGB983089 MPX983072:MPX983089 MZT983072:MZT983089 NJP983072:NJP983089 NTL983072:NTL983089 ODH983072:ODH983089 OND983072:OND983089 OWZ983072:OWZ983089 PGV983072:PGV983089 PQR983072:PQR983089 QAN983072:QAN983089 QKJ983072:QKJ983089 QUF983072:QUF983089 REB983072:REB983089 RNX983072:RNX983089 RXT983072:RXT983089 SHP983072:SHP983089 SRL983072:SRL983089 TBH983072:TBH983089 TLD983072:TLD983089 TUZ983072:TUZ983089 UEV983072:UEV983089 UOR983072:UOR983089 UYN983072:UYN983089 VIJ983072:VIJ983089 VSF983072:VSF983089 WCB983072:WCB983089 WLX983072:WLX983089 WVT983072:WVT983089">
      <formula1>$L$9:$L$25</formula1>
    </dataValidation>
  </dataValidations>
  <printOptions horizontalCentered="1" verticalCentered="1"/>
  <pageMargins left="0.25" right="0.25" top="0.25" bottom="0.25" header="0.5" footer="0.5"/>
  <pageSetup paperSize="5" scale="55" orientation="landscape" r:id="rId1"/>
  <headerFooter alignWithMargins="0"/>
  <rowBreaks count="1" manualBreakCount="1">
    <brk id="66" min="3" max="25" man="1"/>
  </rowBreaks>
  <legacyDrawing r:id="rId2"/>
</worksheet>
</file>

<file path=xl/worksheets/sheet7.xml><?xml version="1.0" encoding="utf-8"?>
<worksheet xmlns="http://schemas.openxmlformats.org/spreadsheetml/2006/main" xmlns:r="http://schemas.openxmlformats.org/officeDocument/2006/relationships">
  <sheetPr>
    <pageSetUpPr fitToPage="1"/>
  </sheetPr>
  <dimension ref="A1:P66"/>
  <sheetViews>
    <sheetView view="pageBreakPreview" zoomScale="85" zoomScaleNormal="100" zoomScaleSheetLayoutView="85" workbookViewId="0">
      <selection activeCell="G18" sqref="G18"/>
    </sheetView>
  </sheetViews>
  <sheetFormatPr defaultRowHeight="12.75"/>
  <cols>
    <col min="1" max="1" width="4" style="247" bestFit="1" customWidth="1"/>
    <col min="2" max="2" width="32.85546875" style="247" customWidth="1"/>
    <col min="3" max="3" width="19" style="247" customWidth="1"/>
    <col min="4" max="4" width="14.42578125" style="247" bestFit="1" customWidth="1"/>
    <col min="5" max="5" width="15" style="247" customWidth="1"/>
    <col min="6" max="6" width="10.85546875" style="247" bestFit="1" customWidth="1"/>
    <col min="7" max="7" width="17.5703125" style="247" bestFit="1" customWidth="1"/>
    <col min="8" max="8" width="12.42578125" style="247" bestFit="1" customWidth="1"/>
    <col min="9" max="9" width="10.140625" style="247" bestFit="1" customWidth="1"/>
    <col min="10" max="10" width="16.28515625" style="247" bestFit="1" customWidth="1"/>
    <col min="11" max="11" width="11.5703125" style="247" bestFit="1" customWidth="1"/>
    <col min="12" max="12" width="10.140625" style="247" bestFit="1" customWidth="1"/>
    <col min="13" max="13" width="15.5703125" style="247" bestFit="1" customWidth="1"/>
    <col min="14" max="14" width="11.5703125" style="247" bestFit="1" customWidth="1"/>
    <col min="15" max="15" width="9.85546875" style="247" bestFit="1" customWidth="1"/>
    <col min="16" max="16" width="15.5703125" style="247" bestFit="1" customWidth="1"/>
    <col min="17" max="16384" width="9.140625" style="247"/>
  </cols>
  <sheetData>
    <row r="1" spans="1:16">
      <c r="B1" s="247" t="s">
        <v>185</v>
      </c>
      <c r="C1" s="247" t="s">
        <v>229</v>
      </c>
    </row>
    <row r="2" spans="1:16">
      <c r="B2" s="247" t="s">
        <v>183</v>
      </c>
      <c r="C2" s="247" t="s">
        <v>228</v>
      </c>
    </row>
    <row r="3" spans="1:16">
      <c r="B3" s="247" t="s">
        <v>182</v>
      </c>
      <c r="C3" s="247" t="s">
        <v>227</v>
      </c>
    </row>
    <row r="4" spans="1:16">
      <c r="B4" s="247" t="s">
        <v>184</v>
      </c>
      <c r="C4" s="247" t="s">
        <v>226</v>
      </c>
    </row>
    <row r="5" spans="1:16">
      <c r="B5" s="247" t="s">
        <v>181</v>
      </c>
      <c r="C5" s="247" t="s">
        <v>225</v>
      </c>
    </row>
    <row r="7" spans="1:16" ht="13.5" thickBot="1">
      <c r="B7" s="299"/>
      <c r="C7" s="299"/>
      <c r="D7" s="299"/>
      <c r="E7" s="299"/>
      <c r="F7" s="324" t="s">
        <v>7</v>
      </c>
      <c r="G7" s="324"/>
      <c r="H7" s="324" t="s">
        <v>224</v>
      </c>
      <c r="I7" s="324"/>
      <c r="J7" s="324"/>
      <c r="K7" s="324" t="s">
        <v>223</v>
      </c>
      <c r="L7" s="324"/>
      <c r="M7" s="324"/>
      <c r="N7" s="324" t="s">
        <v>222</v>
      </c>
      <c r="O7" s="324"/>
      <c r="P7" s="324"/>
    </row>
    <row r="8" spans="1:16">
      <c r="B8" s="298" t="s">
        <v>133</v>
      </c>
      <c r="C8" s="297" t="s">
        <v>106</v>
      </c>
      <c r="D8" s="297" t="s">
        <v>176</v>
      </c>
      <c r="E8" s="297" t="s">
        <v>221</v>
      </c>
      <c r="F8" s="297" t="s">
        <v>211</v>
      </c>
      <c r="G8" s="297" t="s">
        <v>100</v>
      </c>
      <c r="H8" s="297" t="s">
        <v>126</v>
      </c>
      <c r="I8" s="297" t="s">
        <v>211</v>
      </c>
      <c r="J8" s="297" t="s">
        <v>100</v>
      </c>
      <c r="K8" s="297" t="s">
        <v>126</v>
      </c>
      <c r="L8" s="297" t="s">
        <v>211</v>
      </c>
      <c r="M8" s="297" t="s">
        <v>100</v>
      </c>
      <c r="N8" s="297" t="s">
        <v>126</v>
      </c>
      <c r="O8" s="297" t="s">
        <v>211</v>
      </c>
      <c r="P8" s="296" t="s">
        <v>100</v>
      </c>
    </row>
    <row r="9" spans="1:16" ht="15" customHeight="1">
      <c r="A9" s="247">
        <v>1</v>
      </c>
      <c r="B9" s="292" t="s">
        <v>230</v>
      </c>
      <c r="C9" s="290" t="s">
        <v>99</v>
      </c>
      <c r="D9" s="290" t="s">
        <v>120</v>
      </c>
      <c r="E9" s="295">
        <f t="shared" ref="E9:E23" ca="1" si="0">G9/F9</f>
        <v>1070.6832000000002</v>
      </c>
      <c r="F9" s="287">
        <f t="shared" ref="F9:G23" si="1">SUMIF($H$8:$P$8,F$8,$H9:$P9)</f>
        <v>750</v>
      </c>
      <c r="G9" s="289">
        <f t="shared" ca="1" si="1"/>
        <v>803012.40000000014</v>
      </c>
      <c r="H9" s="294">
        <f ca="1">VLOOKUP($A9,'Year 1'!$D$32:$AF$46,29,FALSE)</f>
        <v>1093.92</v>
      </c>
      <c r="I9" s="287">
        <v>290</v>
      </c>
      <c r="J9" s="289">
        <f t="shared" ref="J9:J23" ca="1" si="2">H9*I9</f>
        <v>317236.80000000005</v>
      </c>
      <c r="K9" s="294">
        <f ca="1">VLOOKUP($A9,'Year 2'!$D$32:$AF$46,29,FALSE)</f>
        <v>1036.92</v>
      </c>
      <c r="L9" s="287">
        <v>290</v>
      </c>
      <c r="M9" s="289">
        <f t="shared" ref="M9:M23" ca="1" si="3">K9*L9</f>
        <v>300706.80000000005</v>
      </c>
      <c r="N9" s="294">
        <f ca="1">VLOOKUP($A9,'Year 3'!$D$32:$AF$46,29,FALSE)</f>
        <v>1088.6399999999999</v>
      </c>
      <c r="O9" s="287">
        <v>170</v>
      </c>
      <c r="P9" s="286">
        <f t="shared" ref="P9:P23" ca="1" si="4">N9*O9</f>
        <v>185068.79999999999</v>
      </c>
    </row>
    <row r="10" spans="1:16" ht="15" customHeight="1">
      <c r="A10" s="247">
        <f t="shared" ref="A10:A23" si="5">A9+1</f>
        <v>2</v>
      </c>
      <c r="B10" s="292" t="s">
        <v>63</v>
      </c>
      <c r="C10" s="290" t="s">
        <v>99</v>
      </c>
      <c r="D10" s="290" t="s">
        <v>120</v>
      </c>
      <c r="E10" s="295">
        <f t="shared" ca="1" si="0"/>
        <v>1239.4975999999999</v>
      </c>
      <c r="F10" s="287">
        <f t="shared" si="1"/>
        <v>750</v>
      </c>
      <c r="G10" s="289">
        <f t="shared" ca="1" si="1"/>
        <v>929623.2</v>
      </c>
      <c r="H10" s="294">
        <f ca="1">VLOOKUP($A10,'Year 1'!$D$32:$AF$46,29,FALSE)</f>
        <v>1265.04</v>
      </c>
      <c r="I10" s="287">
        <v>290</v>
      </c>
      <c r="J10" s="289">
        <f t="shared" ca="1" si="2"/>
        <v>366861.6</v>
      </c>
      <c r="K10" s="294">
        <f ca="1">VLOOKUP($A10,'Year 2'!$D$32:$AF$46,29,FALSE)</f>
        <v>1202.6399999999999</v>
      </c>
      <c r="L10" s="287">
        <v>290</v>
      </c>
      <c r="M10" s="289">
        <f t="shared" ca="1" si="3"/>
        <v>348765.6</v>
      </c>
      <c r="N10" s="294">
        <f ca="1">VLOOKUP($A10,'Year 3'!$D$32:$AF$46,29,FALSE)</f>
        <v>1258.8000000000002</v>
      </c>
      <c r="O10" s="287">
        <v>170</v>
      </c>
      <c r="P10" s="286">
        <f t="shared" ca="1" si="4"/>
        <v>213996.00000000003</v>
      </c>
    </row>
    <row r="11" spans="1:16" ht="15" customHeight="1">
      <c r="A11" s="247">
        <f t="shared" si="5"/>
        <v>3</v>
      </c>
      <c r="B11" s="292" t="s">
        <v>63</v>
      </c>
      <c r="C11" s="290" t="s">
        <v>99</v>
      </c>
      <c r="D11" s="290" t="s">
        <v>120</v>
      </c>
      <c r="E11" s="295">
        <f t="shared" ca="1" si="0"/>
        <v>1239.4975999999999</v>
      </c>
      <c r="F11" s="287">
        <f t="shared" si="1"/>
        <v>750</v>
      </c>
      <c r="G11" s="289">
        <f t="shared" ca="1" si="1"/>
        <v>929623.2</v>
      </c>
      <c r="H11" s="294">
        <f ca="1">VLOOKUP($A11,'Year 1'!$D$32:$AF$46,29,FALSE)</f>
        <v>1265.04</v>
      </c>
      <c r="I11" s="287">
        <v>290</v>
      </c>
      <c r="J11" s="289">
        <f t="shared" ca="1" si="2"/>
        <v>366861.6</v>
      </c>
      <c r="K11" s="294">
        <f ca="1">VLOOKUP($A11,'Year 2'!$D$32:$AF$46,29,FALSE)</f>
        <v>1202.6399999999999</v>
      </c>
      <c r="L11" s="287">
        <v>290</v>
      </c>
      <c r="M11" s="289">
        <f t="shared" ca="1" si="3"/>
        <v>348765.6</v>
      </c>
      <c r="N11" s="294">
        <f ca="1">VLOOKUP($A11,'Year 3'!$D$32:$AF$46,29,FALSE)</f>
        <v>1258.8000000000002</v>
      </c>
      <c r="O11" s="287">
        <v>170</v>
      </c>
      <c r="P11" s="286">
        <f t="shared" ca="1" si="4"/>
        <v>213996.00000000003</v>
      </c>
    </row>
    <row r="12" spans="1:16" ht="15" customHeight="1">
      <c r="A12" s="247">
        <f t="shared" si="5"/>
        <v>4</v>
      </c>
      <c r="B12" s="292" t="s">
        <v>63</v>
      </c>
      <c r="C12" s="290" t="s">
        <v>99</v>
      </c>
      <c r="D12" s="290" t="s">
        <v>120</v>
      </c>
      <c r="E12" s="295">
        <f t="shared" ca="1" si="0"/>
        <v>1239.4975999999999</v>
      </c>
      <c r="F12" s="287">
        <f t="shared" si="1"/>
        <v>750</v>
      </c>
      <c r="G12" s="289">
        <f t="shared" ca="1" si="1"/>
        <v>929623.2</v>
      </c>
      <c r="H12" s="294">
        <f ca="1">VLOOKUP($A12,'Year 1'!$D$32:$AF$46,29,FALSE)</f>
        <v>1265.04</v>
      </c>
      <c r="I12" s="287">
        <v>290</v>
      </c>
      <c r="J12" s="289">
        <f t="shared" ca="1" si="2"/>
        <v>366861.6</v>
      </c>
      <c r="K12" s="294">
        <f ca="1">VLOOKUP($A12,'Year 2'!$D$32:$AF$46,29,FALSE)</f>
        <v>1202.6399999999999</v>
      </c>
      <c r="L12" s="287">
        <v>290</v>
      </c>
      <c r="M12" s="289">
        <f t="shared" ca="1" si="3"/>
        <v>348765.6</v>
      </c>
      <c r="N12" s="294">
        <f ca="1">VLOOKUP($A12,'Year 3'!$D$32:$AF$46,29,FALSE)</f>
        <v>1258.8000000000002</v>
      </c>
      <c r="O12" s="287">
        <v>170</v>
      </c>
      <c r="P12" s="286">
        <f t="shared" ca="1" si="4"/>
        <v>213996.00000000003</v>
      </c>
    </row>
    <row r="13" spans="1:16" ht="15" customHeight="1">
      <c r="A13" s="247">
        <f t="shared" si="5"/>
        <v>5</v>
      </c>
      <c r="B13" s="292" t="s">
        <v>65</v>
      </c>
      <c r="C13" s="290" t="s">
        <v>99</v>
      </c>
      <c r="D13" s="290" t="s">
        <v>120</v>
      </c>
      <c r="E13" s="295">
        <f t="shared" ca="1" si="0"/>
        <v>965.30720000000008</v>
      </c>
      <c r="F13" s="287">
        <f t="shared" si="1"/>
        <v>750</v>
      </c>
      <c r="G13" s="289">
        <f t="shared" ca="1" si="1"/>
        <v>723980.4</v>
      </c>
      <c r="H13" s="294">
        <f ca="1">VLOOKUP($A13,'Year 1'!$D$32:$AF$46,29,FALSE)</f>
        <v>987</v>
      </c>
      <c r="I13" s="287">
        <v>290</v>
      </c>
      <c r="J13" s="289">
        <f t="shared" ca="1" si="2"/>
        <v>286230</v>
      </c>
      <c r="K13" s="294">
        <f ca="1">VLOOKUP($A13,'Year 2'!$D$32:$AF$46,29,FALSE)</f>
        <v>933.36</v>
      </c>
      <c r="L13" s="287">
        <v>290</v>
      </c>
      <c r="M13" s="289">
        <f t="shared" ca="1" si="3"/>
        <v>270674.40000000002</v>
      </c>
      <c r="N13" s="294">
        <f ca="1">VLOOKUP($A13,'Year 3'!$D$32:$AF$46,29,FALSE)</f>
        <v>982.80000000000007</v>
      </c>
      <c r="O13" s="287">
        <v>170</v>
      </c>
      <c r="P13" s="286">
        <f t="shared" ca="1" si="4"/>
        <v>167076</v>
      </c>
    </row>
    <row r="14" spans="1:16" ht="15" customHeight="1">
      <c r="A14" s="247">
        <f t="shared" si="5"/>
        <v>6</v>
      </c>
      <c r="B14" s="292" t="s">
        <v>65</v>
      </c>
      <c r="C14" s="290" t="s">
        <v>99</v>
      </c>
      <c r="D14" s="290" t="s">
        <v>120</v>
      </c>
      <c r="E14" s="295">
        <f t="shared" ca="1" si="0"/>
        <v>965.30720000000008</v>
      </c>
      <c r="F14" s="287">
        <f t="shared" si="1"/>
        <v>750</v>
      </c>
      <c r="G14" s="289">
        <f t="shared" ca="1" si="1"/>
        <v>723980.4</v>
      </c>
      <c r="H14" s="294">
        <f ca="1">VLOOKUP($A14,'Year 1'!$D$32:$AF$46,29,FALSE)</f>
        <v>987</v>
      </c>
      <c r="I14" s="287">
        <v>290</v>
      </c>
      <c r="J14" s="289">
        <f t="shared" ca="1" si="2"/>
        <v>286230</v>
      </c>
      <c r="K14" s="294">
        <f ca="1">VLOOKUP($A14,'Year 2'!$D$32:$AF$46,29,FALSE)</f>
        <v>933.36</v>
      </c>
      <c r="L14" s="287">
        <v>290</v>
      </c>
      <c r="M14" s="289">
        <f t="shared" ca="1" si="3"/>
        <v>270674.40000000002</v>
      </c>
      <c r="N14" s="294">
        <f ca="1">VLOOKUP($A14,'Year 3'!$D$32:$AF$46,29,FALSE)</f>
        <v>982.80000000000007</v>
      </c>
      <c r="O14" s="287">
        <v>170</v>
      </c>
      <c r="P14" s="286">
        <f t="shared" ca="1" si="4"/>
        <v>167076</v>
      </c>
    </row>
    <row r="15" spans="1:16" ht="15" customHeight="1">
      <c r="A15" s="247">
        <f t="shared" si="5"/>
        <v>7</v>
      </c>
      <c r="B15" s="292" t="s">
        <v>66</v>
      </c>
      <c r="C15" s="290" t="s">
        <v>241</v>
      </c>
      <c r="D15" s="290" t="s">
        <v>120</v>
      </c>
      <c r="E15" s="295">
        <f t="shared" ca="1" si="0"/>
        <v>1052.1088000000002</v>
      </c>
      <c r="F15" s="287">
        <f t="shared" si="1"/>
        <v>750</v>
      </c>
      <c r="G15" s="289">
        <f t="shared" ca="1" si="1"/>
        <v>789081.60000000009</v>
      </c>
      <c r="H15" s="294">
        <f ca="1">VLOOKUP($A15,'Year 1'!$D$32:$AF$46,29,FALSE)</f>
        <v>1028.1600000000001</v>
      </c>
      <c r="I15" s="287">
        <v>290</v>
      </c>
      <c r="J15" s="289">
        <f t="shared" ca="1" si="2"/>
        <v>298166.40000000002</v>
      </c>
      <c r="K15" s="294">
        <f ca="1">VLOOKUP($A15,'Year 2'!$D$32:$AF$46,29,FALSE)</f>
        <v>1058.1600000000001</v>
      </c>
      <c r="L15" s="287">
        <v>290</v>
      </c>
      <c r="M15" s="289">
        <f t="shared" ca="1" si="3"/>
        <v>306866.40000000002</v>
      </c>
      <c r="N15" s="294">
        <f ca="1">VLOOKUP($A15,'Year 3'!$D$32:$AF$46,29,FALSE)</f>
        <v>1082.6399999999999</v>
      </c>
      <c r="O15" s="287">
        <v>170</v>
      </c>
      <c r="P15" s="286">
        <f t="shared" ca="1" si="4"/>
        <v>184048.8</v>
      </c>
    </row>
    <row r="16" spans="1:16" ht="15" customHeight="1">
      <c r="A16" s="247">
        <f t="shared" si="5"/>
        <v>8</v>
      </c>
      <c r="B16" s="292" t="s">
        <v>266</v>
      </c>
      <c r="C16" s="290" t="s">
        <v>241</v>
      </c>
      <c r="D16" s="290" t="s">
        <v>120</v>
      </c>
      <c r="E16" s="295">
        <f t="shared" ca="1" si="0"/>
        <v>896.99840000000006</v>
      </c>
      <c r="F16" s="287">
        <f t="shared" si="1"/>
        <v>750</v>
      </c>
      <c r="G16" s="289">
        <f t="shared" ca="1" si="1"/>
        <v>672748.8</v>
      </c>
      <c r="H16" s="294">
        <f ca="1">VLOOKUP($A16,'Year 1'!$D$32:$AF$46,29,FALSE)</f>
        <v>876.36</v>
      </c>
      <c r="I16" s="287">
        <v>290</v>
      </c>
      <c r="J16" s="289">
        <f t="shared" ca="1" si="2"/>
        <v>254144.4</v>
      </c>
      <c r="K16" s="294">
        <f ca="1">VLOOKUP($A16,'Year 2'!$D$32:$AF$46,29,FALSE)</f>
        <v>902.16000000000008</v>
      </c>
      <c r="L16" s="287">
        <v>290</v>
      </c>
      <c r="M16" s="289">
        <f t="shared" ca="1" si="3"/>
        <v>261626.40000000002</v>
      </c>
      <c r="N16" s="294">
        <f ca="1">VLOOKUP($A16,'Year 3'!$D$32:$AF$46,29,FALSE)</f>
        <v>923.40000000000009</v>
      </c>
      <c r="O16" s="287">
        <v>170</v>
      </c>
      <c r="P16" s="286">
        <f t="shared" ca="1" si="4"/>
        <v>156978.00000000003</v>
      </c>
    </row>
    <row r="17" spans="1:16" ht="15" customHeight="1">
      <c r="A17" s="247">
        <f t="shared" si="5"/>
        <v>9</v>
      </c>
      <c r="B17" s="292" t="s">
        <v>74</v>
      </c>
      <c r="C17" s="290" t="s">
        <v>241</v>
      </c>
      <c r="D17" s="290" t="s">
        <v>120</v>
      </c>
      <c r="E17" s="295">
        <f t="shared" ca="1" si="0"/>
        <v>786.65279999999996</v>
      </c>
      <c r="F17" s="287">
        <f t="shared" si="1"/>
        <v>750</v>
      </c>
      <c r="G17" s="289">
        <f t="shared" ca="1" si="1"/>
        <v>589989.6</v>
      </c>
      <c r="H17" s="294">
        <f ca="1">VLOOKUP($A17,'Year 1'!$D$32:$AF$46,29,FALSE)</f>
        <v>769.19999999999993</v>
      </c>
      <c r="I17" s="287">
        <v>290</v>
      </c>
      <c r="J17" s="289">
        <f t="shared" ca="1" si="2"/>
        <v>223067.99999999997</v>
      </c>
      <c r="K17" s="294">
        <f ca="1">VLOOKUP($A17,'Year 2'!$D$32:$AF$46,29,FALSE)</f>
        <v>790.56</v>
      </c>
      <c r="L17" s="287">
        <v>290</v>
      </c>
      <c r="M17" s="289">
        <f t="shared" ca="1" si="3"/>
        <v>229262.4</v>
      </c>
      <c r="N17" s="294">
        <f ca="1">VLOOKUP($A17,'Year 3'!$D$32:$AF$46,29,FALSE)</f>
        <v>809.76</v>
      </c>
      <c r="O17" s="287">
        <v>170</v>
      </c>
      <c r="P17" s="286">
        <f t="shared" ca="1" si="4"/>
        <v>137659.20000000001</v>
      </c>
    </row>
    <row r="18" spans="1:16" ht="15" customHeight="1">
      <c r="A18" s="247">
        <f t="shared" si="5"/>
        <v>10</v>
      </c>
      <c r="B18" s="292" t="s">
        <v>74</v>
      </c>
      <c r="C18" s="290" t="s">
        <v>241</v>
      </c>
      <c r="D18" s="290" t="s">
        <v>120</v>
      </c>
      <c r="E18" s="295">
        <f t="shared" ca="1" si="0"/>
        <v>786.65279999999996</v>
      </c>
      <c r="F18" s="287">
        <f t="shared" si="1"/>
        <v>750</v>
      </c>
      <c r="G18" s="289">
        <f t="shared" ca="1" si="1"/>
        <v>589989.6</v>
      </c>
      <c r="H18" s="294">
        <f ca="1">VLOOKUP($A18,'Year 1'!$D$32:$AF$46,29,FALSE)</f>
        <v>769.19999999999993</v>
      </c>
      <c r="I18" s="287">
        <v>290</v>
      </c>
      <c r="J18" s="289">
        <f t="shared" ca="1" si="2"/>
        <v>223067.99999999997</v>
      </c>
      <c r="K18" s="294">
        <f ca="1">VLOOKUP($A18,'Year 2'!$D$32:$AF$46,29,FALSE)</f>
        <v>790.56</v>
      </c>
      <c r="L18" s="287">
        <v>290</v>
      </c>
      <c r="M18" s="289">
        <f t="shared" ca="1" si="3"/>
        <v>229262.4</v>
      </c>
      <c r="N18" s="294">
        <f ca="1">VLOOKUP($A18,'Year 3'!$D$32:$AF$46,29,FALSE)</f>
        <v>809.76</v>
      </c>
      <c r="O18" s="287">
        <v>170</v>
      </c>
      <c r="P18" s="286">
        <f t="shared" ca="1" si="4"/>
        <v>137659.20000000001</v>
      </c>
    </row>
    <row r="19" spans="1:16" ht="15" customHeight="1">
      <c r="A19" s="247">
        <f t="shared" si="5"/>
        <v>11</v>
      </c>
      <c r="B19" s="292" t="s">
        <v>75</v>
      </c>
      <c r="C19" s="290" t="s">
        <v>99</v>
      </c>
      <c r="D19" s="290" t="s">
        <v>120</v>
      </c>
      <c r="E19" s="295">
        <f t="shared" ca="1" si="0"/>
        <v>1017.9952000000001</v>
      </c>
      <c r="F19" s="287">
        <f t="shared" si="1"/>
        <v>750</v>
      </c>
      <c r="G19" s="289">
        <f t="shared" ca="1" si="1"/>
        <v>763496.4</v>
      </c>
      <c r="H19" s="294">
        <f ca="1">VLOOKUP($A19,'Year 1'!$D$32:$AF$46,29,FALSE)</f>
        <v>1040.4000000000001</v>
      </c>
      <c r="I19" s="287">
        <v>290</v>
      </c>
      <c r="J19" s="289">
        <f t="shared" ca="1" si="2"/>
        <v>301716</v>
      </c>
      <c r="K19" s="294">
        <f ca="1">VLOOKUP($A19,'Year 2'!$D$32:$AF$46,29,FALSE)</f>
        <v>985.19999999999993</v>
      </c>
      <c r="L19" s="287">
        <v>290</v>
      </c>
      <c r="M19" s="289">
        <f t="shared" ca="1" si="3"/>
        <v>285708</v>
      </c>
      <c r="N19" s="294">
        <f ca="1">VLOOKUP($A19,'Year 3'!$D$32:$AF$46,29,FALSE)</f>
        <v>1035.72</v>
      </c>
      <c r="O19" s="287">
        <v>170</v>
      </c>
      <c r="P19" s="286">
        <f t="shared" ca="1" si="4"/>
        <v>176072.4</v>
      </c>
    </row>
    <row r="20" spans="1:16" ht="15" customHeight="1">
      <c r="A20" s="247">
        <f t="shared" si="5"/>
        <v>12</v>
      </c>
      <c r="B20" s="292" t="s">
        <v>76</v>
      </c>
      <c r="C20" s="290" t="s">
        <v>99</v>
      </c>
      <c r="D20" s="290" t="s">
        <v>120</v>
      </c>
      <c r="E20" s="295">
        <f t="shared" ca="1" si="0"/>
        <v>1035.4688000000001</v>
      </c>
      <c r="F20" s="287">
        <f t="shared" si="1"/>
        <v>750</v>
      </c>
      <c r="G20" s="289">
        <f t="shared" ca="1" si="1"/>
        <v>776601.60000000009</v>
      </c>
      <c r="H20" s="294">
        <f ca="1">VLOOKUP($A20,'Year 1'!$D$32:$AF$46,29,FALSE)</f>
        <v>1058.1600000000001</v>
      </c>
      <c r="I20" s="287">
        <v>290</v>
      </c>
      <c r="J20" s="289">
        <f t="shared" ca="1" si="2"/>
        <v>306866.40000000002</v>
      </c>
      <c r="K20" s="294">
        <f ca="1">VLOOKUP($A20,'Year 2'!$D$32:$AF$46,29,FALSE)</f>
        <v>1002.36</v>
      </c>
      <c r="L20" s="287">
        <v>290</v>
      </c>
      <c r="M20" s="289">
        <f t="shared" ca="1" si="3"/>
        <v>290684.40000000002</v>
      </c>
      <c r="N20" s="294">
        <f ca="1">VLOOKUP($A20,'Year 3'!$D$32:$AF$46,29,FALSE)</f>
        <v>1053.24</v>
      </c>
      <c r="O20" s="287">
        <v>170</v>
      </c>
      <c r="P20" s="286">
        <f t="shared" ca="1" si="4"/>
        <v>179050.8</v>
      </c>
    </row>
    <row r="21" spans="1:16" ht="15" customHeight="1">
      <c r="A21" s="247">
        <f t="shared" si="5"/>
        <v>13</v>
      </c>
      <c r="B21" s="292" t="s">
        <v>77</v>
      </c>
      <c r="C21" s="290" t="s">
        <v>99</v>
      </c>
      <c r="D21" s="290" t="s">
        <v>120</v>
      </c>
      <c r="E21" s="295">
        <f t="shared" ca="1" si="0"/>
        <v>965.30720000000008</v>
      </c>
      <c r="F21" s="287">
        <f t="shared" si="1"/>
        <v>750</v>
      </c>
      <c r="G21" s="289">
        <f t="shared" ca="1" si="1"/>
        <v>723980.4</v>
      </c>
      <c r="H21" s="294">
        <f ca="1">VLOOKUP($A21,'Year 1'!$D$32:$AF$46,29,FALSE)</f>
        <v>987</v>
      </c>
      <c r="I21" s="287">
        <v>290</v>
      </c>
      <c r="J21" s="289">
        <f t="shared" ca="1" si="2"/>
        <v>286230</v>
      </c>
      <c r="K21" s="294">
        <f ca="1">VLOOKUP($A21,'Year 2'!$D$32:$AF$46,29,FALSE)</f>
        <v>933.36</v>
      </c>
      <c r="L21" s="287">
        <v>290</v>
      </c>
      <c r="M21" s="289">
        <f t="shared" ca="1" si="3"/>
        <v>270674.40000000002</v>
      </c>
      <c r="N21" s="294">
        <f ca="1">VLOOKUP($A21,'Year 3'!$D$32:$AF$46,29,FALSE)</f>
        <v>982.80000000000007</v>
      </c>
      <c r="O21" s="287">
        <v>170</v>
      </c>
      <c r="P21" s="286">
        <f t="shared" ca="1" si="4"/>
        <v>167076</v>
      </c>
    </row>
    <row r="22" spans="1:16" ht="15" customHeight="1">
      <c r="A22" s="247">
        <f t="shared" si="5"/>
        <v>14</v>
      </c>
      <c r="B22" s="292" t="s">
        <v>78</v>
      </c>
      <c r="C22" s="290" t="s">
        <v>99</v>
      </c>
      <c r="D22" s="290" t="s">
        <v>120</v>
      </c>
      <c r="E22" s="295">
        <f t="shared" ca="1" si="0"/>
        <v>965.30720000000008</v>
      </c>
      <c r="F22" s="287">
        <f t="shared" si="1"/>
        <v>750</v>
      </c>
      <c r="G22" s="289">
        <f t="shared" ca="1" si="1"/>
        <v>723980.4</v>
      </c>
      <c r="H22" s="294">
        <f ca="1">VLOOKUP($A22,'Year 1'!$D$32:$AF$46,29,FALSE)</f>
        <v>987</v>
      </c>
      <c r="I22" s="287">
        <v>290</v>
      </c>
      <c r="J22" s="289">
        <f t="shared" ca="1" si="2"/>
        <v>286230</v>
      </c>
      <c r="K22" s="294">
        <f ca="1">VLOOKUP($A22,'Year 2'!$D$32:$AF$46,29,FALSE)</f>
        <v>933.36</v>
      </c>
      <c r="L22" s="287">
        <v>290</v>
      </c>
      <c r="M22" s="289">
        <f t="shared" ca="1" si="3"/>
        <v>270674.40000000002</v>
      </c>
      <c r="N22" s="294">
        <f ca="1">VLOOKUP($A22,'Year 3'!$D$32:$AF$46,29,FALSE)</f>
        <v>982.80000000000007</v>
      </c>
      <c r="O22" s="287">
        <v>170</v>
      </c>
      <c r="P22" s="286">
        <f t="shared" ca="1" si="4"/>
        <v>167076</v>
      </c>
    </row>
    <row r="23" spans="1:16" ht="15" customHeight="1">
      <c r="A23" s="247">
        <f t="shared" si="5"/>
        <v>15</v>
      </c>
      <c r="B23" s="292" t="s">
        <v>79</v>
      </c>
      <c r="C23" s="290" t="s">
        <v>99</v>
      </c>
      <c r="D23" s="290" t="s">
        <v>120</v>
      </c>
      <c r="E23" s="295">
        <f t="shared" ca="1" si="0"/>
        <v>930.27840000000003</v>
      </c>
      <c r="F23" s="287">
        <f t="shared" si="1"/>
        <v>750</v>
      </c>
      <c r="G23" s="289">
        <f t="shared" ca="1" si="1"/>
        <v>697708.8</v>
      </c>
      <c r="H23" s="294">
        <f ca="1">VLOOKUP($A23,'Year 1'!$D$32:$AF$46,29,FALSE)</f>
        <v>951.59999999999991</v>
      </c>
      <c r="I23" s="287">
        <v>290</v>
      </c>
      <c r="J23" s="289">
        <f t="shared" ca="1" si="2"/>
        <v>275964</v>
      </c>
      <c r="K23" s="294">
        <f ca="1">VLOOKUP($A23,'Year 2'!$D$32:$AF$46,29,FALSE)</f>
        <v>898.92</v>
      </c>
      <c r="L23" s="287">
        <v>290</v>
      </c>
      <c r="M23" s="289">
        <f t="shared" ca="1" si="3"/>
        <v>260686.8</v>
      </c>
      <c r="N23" s="294">
        <f ca="1">VLOOKUP($A23,'Year 3'!$D$32:$AF$46,29,FALSE)</f>
        <v>947.40000000000009</v>
      </c>
      <c r="O23" s="287">
        <v>170</v>
      </c>
      <c r="P23" s="286">
        <f t="shared" ca="1" si="4"/>
        <v>161058.00000000003</v>
      </c>
    </row>
    <row r="24" spans="1:16" ht="15" customHeight="1">
      <c r="B24" s="292"/>
      <c r="C24" s="290"/>
      <c r="D24" s="290"/>
      <c r="E24" s="290"/>
      <c r="F24" s="290"/>
      <c r="G24" s="288"/>
      <c r="H24" s="288"/>
      <c r="I24" s="290"/>
      <c r="J24" s="288"/>
      <c r="K24" s="288"/>
      <c r="L24" s="290"/>
      <c r="M24" s="288"/>
      <c r="N24" s="288"/>
      <c r="O24" s="290"/>
      <c r="P24" s="293"/>
    </row>
    <row r="25" spans="1:16" ht="15">
      <c r="B25" s="292" t="s">
        <v>220</v>
      </c>
      <c r="C25" s="291"/>
      <c r="D25" s="290"/>
      <c r="E25" s="290"/>
      <c r="F25" s="287">
        <f>SUM(F12,F15:F18)</f>
        <v>3750</v>
      </c>
      <c r="G25" s="289">
        <f ca="1">SUM(G12,G15:G18)</f>
        <v>3571432.8000000003</v>
      </c>
      <c r="H25" s="288"/>
      <c r="I25" s="287">
        <f>SUM(I12,I15:I18)</f>
        <v>1450</v>
      </c>
      <c r="J25" s="289">
        <f ca="1">SUM(J12,J15:J18)</f>
        <v>1365308.4</v>
      </c>
      <c r="K25" s="288"/>
      <c r="L25" s="287">
        <f>SUM(L12,L15:L18)</f>
        <v>1450</v>
      </c>
      <c r="M25" s="289">
        <f ca="1">SUM(M12,M15:M18)</f>
        <v>1375783.2</v>
      </c>
      <c r="N25" s="288"/>
      <c r="O25" s="287">
        <f>SUM(O12,O15:O18)</f>
        <v>850</v>
      </c>
      <c r="P25" s="286">
        <f ca="1">SUM(P12,P15:P18)</f>
        <v>830341.2</v>
      </c>
    </row>
    <row r="26" spans="1:16" ht="15">
      <c r="B26" s="292" t="s">
        <v>219</v>
      </c>
      <c r="C26" s="291"/>
      <c r="D26" s="290"/>
      <c r="E26" s="290"/>
      <c r="F26" s="287">
        <f>SUM(F9:F11,F13:F14,F19:F23)</f>
        <v>7500</v>
      </c>
      <c r="G26" s="289">
        <f ca="1">SUM(G9:G11,G13:G14,G19:G23)</f>
        <v>7795987.2000000002</v>
      </c>
      <c r="H26" s="288"/>
      <c r="I26" s="287">
        <f>SUM(I9:I11,I13:I14,I19:I23)</f>
        <v>2900</v>
      </c>
      <c r="J26" s="289">
        <f ca="1">SUM(J9:J11,J13:J14,J19:J23)</f>
        <v>3080426.4</v>
      </c>
      <c r="K26" s="288"/>
      <c r="L26" s="287">
        <f>SUM(L9:L11,L13:L14,L19:L23)</f>
        <v>2900</v>
      </c>
      <c r="M26" s="289">
        <f ca="1">SUM(M9:M11,M13:M14,M19:M23)</f>
        <v>2918014.7999999993</v>
      </c>
      <c r="N26" s="288"/>
      <c r="O26" s="287">
        <f>SUM(O9:O11,O13:O14,O19:O23)</f>
        <v>1700</v>
      </c>
      <c r="P26" s="286">
        <f ca="1">SUM(P9:P11,P13:P14,P19:P23)</f>
        <v>1797546</v>
      </c>
    </row>
    <row r="27" spans="1:16" ht="15">
      <c r="B27" s="292"/>
      <c r="C27" s="291"/>
      <c r="D27" s="290"/>
      <c r="E27" s="290"/>
      <c r="F27" s="287"/>
      <c r="G27" s="289"/>
      <c r="H27" s="288"/>
      <c r="I27" s="287"/>
      <c r="J27" s="289"/>
      <c r="K27" s="288"/>
      <c r="L27" s="287"/>
      <c r="M27" s="289"/>
      <c r="N27" s="288"/>
      <c r="O27" s="287"/>
      <c r="P27" s="286"/>
    </row>
    <row r="28" spans="1:16">
      <c r="B28" s="252" t="s">
        <v>218</v>
      </c>
      <c r="C28" s="281"/>
      <c r="D28" s="280"/>
      <c r="E28" s="280"/>
      <c r="F28" s="277">
        <f>SUM(F25:F26)</f>
        <v>11250</v>
      </c>
      <c r="G28" s="278">
        <f ca="1">SUM(G25:G27)</f>
        <v>11367420</v>
      </c>
      <c r="H28" s="278"/>
      <c r="I28" s="277">
        <f>SUM(I25:I26)</f>
        <v>4350</v>
      </c>
      <c r="J28" s="278">
        <f ca="1">SUM(J25:J27)</f>
        <v>4445734.8</v>
      </c>
      <c r="K28" s="278"/>
      <c r="L28" s="277">
        <f>SUM(L25:L26)</f>
        <v>4350</v>
      </c>
      <c r="M28" s="278">
        <f ca="1">SUM(M25:M27)</f>
        <v>4293797.9999999991</v>
      </c>
      <c r="N28" s="278"/>
      <c r="O28" s="277">
        <f>SUM(O25:O26)</f>
        <v>2550</v>
      </c>
      <c r="P28" s="276">
        <f ca="1">SUM(P25:P27)</f>
        <v>2627887.2000000002</v>
      </c>
    </row>
    <row r="29" spans="1:16">
      <c r="B29" s="252"/>
      <c r="C29" s="281"/>
      <c r="D29" s="280"/>
      <c r="E29" s="280"/>
      <c r="F29" s="277"/>
      <c r="G29" s="278"/>
      <c r="H29" s="278"/>
      <c r="I29" s="277"/>
      <c r="J29" s="278"/>
      <c r="K29" s="278"/>
      <c r="L29" s="277"/>
      <c r="M29" s="278"/>
      <c r="N29" s="278"/>
      <c r="O29" s="277"/>
      <c r="P29" s="276"/>
    </row>
    <row r="30" spans="1:16">
      <c r="B30" s="252"/>
      <c r="C30" s="281"/>
      <c r="D30" s="280"/>
      <c r="E30" s="284" t="s">
        <v>126</v>
      </c>
      <c r="F30" s="281" t="s">
        <v>211</v>
      </c>
      <c r="G30" s="281" t="s">
        <v>100</v>
      </c>
      <c r="H30" s="281"/>
      <c r="I30" s="281"/>
      <c r="J30" s="281"/>
      <c r="K30" s="278"/>
      <c r="L30" s="277"/>
      <c r="M30" s="278"/>
      <c r="N30" s="281"/>
      <c r="O30" s="281"/>
      <c r="P30" s="285"/>
    </row>
    <row r="31" spans="1:16" ht="42" customHeight="1">
      <c r="B31" s="325" t="s">
        <v>217</v>
      </c>
      <c r="C31" s="326"/>
      <c r="D31" s="280"/>
      <c r="E31" s="279">
        <f ca="1">SUM(Processing!$AF$32:$AF$46)/15</f>
        <v>722.7360000000001</v>
      </c>
      <c r="F31" s="277">
        <v>90</v>
      </c>
      <c r="G31" s="278">
        <f ca="1">E31*F31</f>
        <v>65046.240000000013</v>
      </c>
      <c r="H31" s="278"/>
      <c r="I31" s="277"/>
      <c r="J31" s="278">
        <f ca="1">J28+M28+P28+G31+G33</f>
        <v>11537761.439999999</v>
      </c>
      <c r="K31" s="278"/>
      <c r="L31" s="277"/>
      <c r="M31" s="278"/>
      <c r="N31" s="278"/>
      <c r="O31" s="277"/>
      <c r="P31" s="276"/>
    </row>
    <row r="32" spans="1:16">
      <c r="B32" s="252"/>
      <c r="C32" s="281"/>
      <c r="D32" s="280"/>
      <c r="E32" s="284" t="s">
        <v>126</v>
      </c>
      <c r="F32" s="281" t="s">
        <v>211</v>
      </c>
      <c r="G32" s="281" t="s">
        <v>100</v>
      </c>
      <c r="H32" s="278"/>
      <c r="I32" s="277"/>
      <c r="J32" s="278"/>
      <c r="K32" s="278"/>
      <c r="L32" s="277"/>
      <c r="M32" s="278"/>
      <c r="N32" s="278"/>
      <c r="O32" s="277"/>
      <c r="P32" s="276"/>
    </row>
    <row r="33" spans="2:16" ht="39" customHeight="1">
      <c r="B33" s="325" t="s">
        <v>216</v>
      </c>
      <c r="C33" s="326"/>
      <c r="D33" s="280"/>
      <c r="E33" s="279">
        <f ca="1">SUM(Training!$AF$32:$AF$46)/15</f>
        <v>701.96799999999996</v>
      </c>
      <c r="F33" s="277">
        <v>150</v>
      </c>
      <c r="G33" s="278">
        <f ca="1">E33*F33</f>
        <v>105295.2</v>
      </c>
      <c r="H33" s="278"/>
      <c r="I33" s="277"/>
      <c r="J33" s="278"/>
      <c r="K33" s="278"/>
      <c r="L33" s="277"/>
      <c r="M33" s="278"/>
      <c r="N33" s="278"/>
      <c r="O33" s="277"/>
      <c r="P33" s="276"/>
    </row>
    <row r="34" spans="2:16">
      <c r="B34" s="283"/>
      <c r="C34" s="282"/>
      <c r="D34" s="280"/>
      <c r="E34" s="280" t="s">
        <v>215</v>
      </c>
      <c r="F34" s="277" t="s">
        <v>57</v>
      </c>
      <c r="G34" s="281" t="s">
        <v>100</v>
      </c>
      <c r="H34" s="278"/>
      <c r="I34" s="277"/>
      <c r="J34" s="278"/>
      <c r="K34" s="278"/>
      <c r="L34" s="277"/>
      <c r="M34" s="278"/>
      <c r="N34" s="278"/>
      <c r="O34" s="277"/>
      <c r="P34" s="276"/>
    </row>
    <row r="35" spans="2:16">
      <c r="B35" s="252" t="s">
        <v>214</v>
      </c>
      <c r="C35" s="281"/>
      <c r="D35" s="280"/>
      <c r="E35" s="279">
        <f ca="1">+'Year 1'!AE60</f>
        <v>1606.6000000000001</v>
      </c>
      <c r="F35" s="277">
        <v>1</v>
      </c>
      <c r="G35" s="278">
        <f ca="1">E35*F35</f>
        <v>1606.6000000000001</v>
      </c>
      <c r="H35" s="278"/>
      <c r="I35" s="277"/>
      <c r="J35" s="278"/>
      <c r="K35" s="278"/>
      <c r="L35" s="277"/>
      <c r="M35" s="278"/>
      <c r="N35" s="278"/>
      <c r="O35" s="277"/>
      <c r="P35" s="276"/>
    </row>
    <row r="36" spans="2:16">
      <c r="B36" s="252"/>
      <c r="C36" s="281"/>
      <c r="D36" s="280"/>
      <c r="E36" s="279"/>
      <c r="F36" s="277"/>
      <c r="G36" s="278"/>
      <c r="H36" s="278"/>
      <c r="I36" s="277"/>
      <c r="J36" s="278"/>
      <c r="K36" s="278"/>
      <c r="L36" s="277"/>
      <c r="M36" s="278"/>
      <c r="N36" s="278"/>
      <c r="O36" s="277"/>
      <c r="P36" s="276"/>
    </row>
    <row r="37" spans="2:16">
      <c r="B37" s="265"/>
      <c r="C37" s="264"/>
      <c r="D37" s="272" t="s">
        <v>212</v>
      </c>
      <c r="E37" s="272"/>
      <c r="F37" s="272" t="s">
        <v>211</v>
      </c>
      <c r="G37" s="272" t="s">
        <v>100</v>
      </c>
      <c r="H37" s="272"/>
      <c r="I37" s="272"/>
      <c r="J37" s="272"/>
      <c r="K37" s="272"/>
      <c r="L37" s="272"/>
      <c r="M37" s="272"/>
      <c r="N37" s="272"/>
      <c r="O37" s="272"/>
      <c r="P37" s="275"/>
    </row>
    <row r="38" spans="2:16" ht="38.25">
      <c r="B38" s="274" t="s">
        <v>210</v>
      </c>
      <c r="C38" s="264"/>
      <c r="D38" s="267">
        <f ca="1">G28/F28</f>
        <v>1010.4373333333333</v>
      </c>
      <c r="E38" s="267"/>
      <c r="F38" s="273">
        <f>+F28+F31+F33</f>
        <v>11490</v>
      </c>
      <c r="G38" s="268">
        <f ca="1">+G28+G31+G33</f>
        <v>11537761.439999999</v>
      </c>
      <c r="H38" s="267"/>
      <c r="I38" s="273"/>
      <c r="J38" s="268"/>
      <c r="K38" s="267"/>
      <c r="L38" s="273"/>
      <c r="M38" s="268"/>
      <c r="N38" s="267"/>
      <c r="O38" s="273"/>
      <c r="P38" s="266"/>
    </row>
    <row r="39" spans="2:16">
      <c r="B39" s="274"/>
      <c r="C39" s="264"/>
      <c r="D39" s="267"/>
      <c r="E39" s="267"/>
      <c r="F39" s="273"/>
      <c r="G39" s="268"/>
      <c r="H39" s="267"/>
      <c r="I39" s="273"/>
      <c r="J39" s="271"/>
      <c r="K39" s="267"/>
      <c r="L39" s="273"/>
      <c r="M39" s="271"/>
      <c r="N39" s="267"/>
      <c r="O39" s="273"/>
      <c r="P39" s="266"/>
    </row>
    <row r="40" spans="2:16">
      <c r="B40" s="265" t="s">
        <v>213</v>
      </c>
      <c r="C40" s="272"/>
      <c r="D40" s="262">
        <f>G40/F40</f>
        <v>1305.4830287206266</v>
      </c>
      <c r="E40" s="262"/>
      <c r="F40" s="270">
        <f>+F38</f>
        <v>11490</v>
      </c>
      <c r="G40" s="263">
        <v>15000000</v>
      </c>
      <c r="H40" s="267"/>
      <c r="I40" s="270"/>
      <c r="J40" s="271"/>
      <c r="K40" s="267"/>
      <c r="L40" s="270"/>
      <c r="M40" s="271"/>
      <c r="N40" s="267"/>
      <c r="O40" s="270"/>
      <c r="P40" s="260"/>
    </row>
    <row r="41" spans="2:16">
      <c r="B41" s="269"/>
      <c r="C41" s="264"/>
      <c r="D41" s="267"/>
      <c r="E41" s="267"/>
      <c r="F41" s="264"/>
      <c r="G41" s="267"/>
      <c r="H41" s="267"/>
      <c r="I41" s="264"/>
      <c r="J41" s="268"/>
      <c r="K41" s="267"/>
      <c r="L41" s="264"/>
      <c r="M41" s="268"/>
      <c r="N41" s="267"/>
      <c r="O41" s="264"/>
      <c r="P41" s="266"/>
    </row>
    <row r="42" spans="2:16">
      <c r="B42" s="265" t="s">
        <v>208</v>
      </c>
      <c r="C42" s="264"/>
      <c r="D42" s="262">
        <f ca="1">D38-D40</f>
        <v>-295.04569538729334</v>
      </c>
      <c r="E42" s="262"/>
      <c r="F42" s="261">
        <f>F38-F40</f>
        <v>0</v>
      </c>
      <c r="G42" s="263">
        <f ca="1">G38-G40</f>
        <v>-3462238.5600000005</v>
      </c>
      <c r="H42" s="262"/>
      <c r="I42" s="261"/>
      <c r="J42" s="263"/>
      <c r="K42" s="262"/>
      <c r="L42" s="261"/>
      <c r="M42" s="263"/>
      <c r="N42" s="262"/>
      <c r="O42" s="261"/>
      <c r="P42" s="260"/>
    </row>
    <row r="43" spans="2:16" ht="13.5" thickBot="1">
      <c r="B43" s="259" t="s">
        <v>207</v>
      </c>
      <c r="C43" s="258"/>
      <c r="D43" s="257">
        <f ca="1">D42/D38</f>
        <v>-0.29199801477442111</v>
      </c>
      <c r="E43" s="257"/>
      <c r="F43" s="257">
        <f>F42/F38</f>
        <v>0</v>
      </c>
      <c r="G43" s="257">
        <f ca="1">G42/G38</f>
        <v>-0.30007888254621434</v>
      </c>
      <c r="H43" s="257"/>
      <c r="I43" s="257"/>
      <c r="J43" s="257"/>
      <c r="K43" s="257"/>
      <c r="L43" s="257"/>
      <c r="M43" s="257"/>
      <c r="N43" s="257"/>
      <c r="O43" s="257"/>
      <c r="P43" s="256"/>
    </row>
    <row r="44" spans="2:16">
      <c r="B44" s="265"/>
      <c r="C44" s="264"/>
      <c r="D44" s="272" t="s">
        <v>212</v>
      </c>
      <c r="E44" s="272"/>
      <c r="F44" s="272" t="s">
        <v>211</v>
      </c>
      <c r="G44" s="272" t="s">
        <v>100</v>
      </c>
      <c r="H44" s="272"/>
      <c r="I44" s="272"/>
      <c r="J44" s="272"/>
      <c r="K44" s="272"/>
      <c r="L44" s="272"/>
      <c r="M44" s="272"/>
      <c r="N44" s="272"/>
      <c r="O44" s="272"/>
      <c r="P44" s="275"/>
    </row>
    <row r="45" spans="2:16" ht="38.25">
      <c r="B45" s="274" t="s">
        <v>210</v>
      </c>
      <c r="C45" s="264"/>
      <c r="D45" s="267">
        <f ca="1">D38</f>
        <v>1010.4373333333333</v>
      </c>
      <c r="E45" s="267"/>
      <c r="F45" s="273">
        <f>F38</f>
        <v>11490</v>
      </c>
      <c r="G45" s="268">
        <f ca="1">G38</f>
        <v>11537761.439999999</v>
      </c>
      <c r="H45" s="267"/>
      <c r="I45" s="273"/>
      <c r="J45" s="268"/>
      <c r="K45" s="267"/>
      <c r="L45" s="273"/>
      <c r="M45" s="268"/>
      <c r="N45" s="267"/>
      <c r="O45" s="273"/>
      <c r="P45" s="266"/>
    </row>
    <row r="46" spans="2:16">
      <c r="B46" s="265" t="s">
        <v>209</v>
      </c>
      <c r="C46" s="272"/>
      <c r="D46" s="262">
        <f>G46/F46</f>
        <v>1044.3864229765013</v>
      </c>
      <c r="E46" s="262"/>
      <c r="F46" s="270">
        <f>+F45</f>
        <v>11490</v>
      </c>
      <c r="G46" s="263">
        <v>12000000</v>
      </c>
      <c r="H46" s="267"/>
      <c r="I46" s="270"/>
      <c r="J46" s="271"/>
      <c r="K46" s="267"/>
      <c r="L46" s="270"/>
      <c r="M46" s="271"/>
      <c r="N46" s="267"/>
      <c r="O46" s="270"/>
      <c r="P46" s="260"/>
    </row>
    <row r="47" spans="2:16">
      <c r="B47" s="269"/>
      <c r="C47" s="264"/>
      <c r="D47" s="267"/>
      <c r="E47" s="267"/>
      <c r="F47" s="264"/>
      <c r="G47" s="267"/>
      <c r="H47" s="267"/>
      <c r="I47" s="264"/>
      <c r="J47" s="268"/>
      <c r="K47" s="267"/>
      <c r="L47" s="264"/>
      <c r="M47" s="268"/>
      <c r="N47" s="267"/>
      <c r="O47" s="264"/>
      <c r="P47" s="266"/>
    </row>
    <row r="48" spans="2:16">
      <c r="B48" s="265" t="s">
        <v>208</v>
      </c>
      <c r="C48" s="264"/>
      <c r="D48" s="262">
        <f ca="1">D45-D46</f>
        <v>-33.949089643168008</v>
      </c>
      <c r="E48" s="262"/>
      <c r="F48" s="261">
        <f>F45-F46</f>
        <v>0</v>
      </c>
      <c r="G48" s="263">
        <f ca="1">G45-G46</f>
        <v>-462238.56000000052</v>
      </c>
      <c r="H48" s="262"/>
      <c r="I48" s="261"/>
      <c r="J48" s="263"/>
      <c r="K48" s="262"/>
      <c r="L48" s="261"/>
      <c r="M48" s="263"/>
      <c r="N48" s="262"/>
      <c r="O48" s="261"/>
      <c r="P48" s="260"/>
    </row>
    <row r="49" spans="2:16" ht="13.5" thickBot="1">
      <c r="B49" s="259" t="s">
        <v>207</v>
      </c>
      <c r="C49" s="258"/>
      <c r="D49" s="257">
        <f ca="1">D48/D45</f>
        <v>-3.3598411819536898E-2</v>
      </c>
      <c r="E49" s="257"/>
      <c r="F49" s="257">
        <f>F48/F45</f>
        <v>0</v>
      </c>
      <c r="G49" s="257">
        <f ca="1">G48/G45</f>
        <v>-4.0063106036971462E-2</v>
      </c>
      <c r="H49" s="257"/>
      <c r="I49" s="257"/>
      <c r="J49" s="257"/>
      <c r="K49" s="257"/>
      <c r="L49" s="257"/>
      <c r="M49" s="257"/>
      <c r="N49" s="257"/>
      <c r="O49" s="257"/>
      <c r="P49" s="256"/>
    </row>
    <row r="50" spans="2:16" ht="13.5" thickBot="1"/>
    <row r="51" spans="2:16" ht="13.5" thickBot="1">
      <c r="B51" s="321" t="s">
        <v>206</v>
      </c>
      <c r="C51" s="322"/>
      <c r="D51" s="247" t="s">
        <v>205</v>
      </c>
      <c r="I51" s="255"/>
    </row>
    <row r="52" spans="2:16">
      <c r="B52" s="254" t="s">
        <v>204</v>
      </c>
      <c r="C52" s="253">
        <v>0.08</v>
      </c>
      <c r="E52" s="323" t="s">
        <v>203</v>
      </c>
      <c r="F52" s="323"/>
      <c r="G52" s="323"/>
      <c r="H52" s="323"/>
      <c r="I52" s="323"/>
      <c r="J52" s="323"/>
      <c r="K52" s="323"/>
      <c r="L52" s="323"/>
      <c r="M52" s="323"/>
      <c r="N52" s="323"/>
      <c r="O52" s="323"/>
      <c r="P52" s="323"/>
    </row>
    <row r="53" spans="2:16">
      <c r="B53" s="252" t="s">
        <v>202</v>
      </c>
      <c r="C53" s="251">
        <v>0.08</v>
      </c>
      <c r="E53" s="323"/>
      <c r="F53" s="323"/>
      <c r="G53" s="323"/>
      <c r="H53" s="323"/>
      <c r="I53" s="323"/>
      <c r="J53" s="323"/>
      <c r="K53" s="323"/>
      <c r="L53" s="323"/>
      <c r="M53" s="323"/>
      <c r="N53" s="323"/>
      <c r="O53" s="323"/>
      <c r="P53" s="323"/>
    </row>
    <row r="54" spans="2:16">
      <c r="B54" s="252" t="s">
        <v>201</v>
      </c>
      <c r="C54" s="251">
        <v>0.08</v>
      </c>
      <c r="E54" s="247" t="s">
        <v>200</v>
      </c>
    </row>
    <row r="55" spans="2:16" ht="13.5" thickBot="1">
      <c r="B55" s="250" t="s">
        <v>199</v>
      </c>
      <c r="C55" s="249">
        <f ca="1">SUM('Year 1'!AK63+'Year 2'!AK63+'Year 3'!AK63)/SUM('Year 3'!AI63+'Year 2'!AI63+'Year 1'!AI63)</f>
        <v>8.0007727139278437E-2</v>
      </c>
      <c r="E55" s="247" t="s">
        <v>198</v>
      </c>
    </row>
    <row r="56" spans="2:16">
      <c r="D56" s="248" t="s">
        <v>197</v>
      </c>
    </row>
    <row r="57" spans="2:16">
      <c r="D57" s="248" t="s">
        <v>196</v>
      </c>
    </row>
    <row r="58" spans="2:16">
      <c r="E58" s="248" t="s">
        <v>195</v>
      </c>
    </row>
    <row r="59" spans="2:16">
      <c r="E59" s="248" t="s">
        <v>194</v>
      </c>
    </row>
    <row r="60" spans="2:16">
      <c r="E60" s="248" t="s">
        <v>193</v>
      </c>
    </row>
    <row r="61" spans="2:16">
      <c r="E61" s="248" t="s">
        <v>192</v>
      </c>
    </row>
    <row r="62" spans="2:16">
      <c r="E62" s="248" t="s">
        <v>191</v>
      </c>
    </row>
    <row r="63" spans="2:16">
      <c r="E63" s="247" t="s">
        <v>190</v>
      </c>
    </row>
    <row r="64" spans="2:16" ht="12.75" customHeight="1">
      <c r="E64" s="323" t="s">
        <v>189</v>
      </c>
      <c r="F64" s="323"/>
      <c r="G64" s="323"/>
      <c r="H64" s="323"/>
      <c r="I64" s="323"/>
      <c r="J64" s="323"/>
      <c r="K64" s="323"/>
      <c r="L64" s="323"/>
      <c r="M64" s="323"/>
      <c r="N64" s="323"/>
      <c r="O64" s="323"/>
      <c r="P64" s="323"/>
    </row>
    <row r="65" spans="5:16">
      <c r="E65" s="323"/>
      <c r="F65" s="323"/>
      <c r="G65" s="323"/>
      <c r="H65" s="323"/>
      <c r="I65" s="323"/>
      <c r="J65" s="323"/>
      <c r="K65" s="323"/>
      <c r="L65" s="323"/>
      <c r="M65" s="323"/>
      <c r="N65" s="323"/>
      <c r="O65" s="323"/>
      <c r="P65" s="323"/>
    </row>
    <row r="66" spans="5:16">
      <c r="E66" s="247" t="s">
        <v>188</v>
      </c>
    </row>
  </sheetData>
  <mergeCells count="9">
    <mergeCell ref="B51:C51"/>
    <mergeCell ref="E52:P53"/>
    <mergeCell ref="E64:P65"/>
    <mergeCell ref="F7:G7"/>
    <mergeCell ref="H7:J7"/>
    <mergeCell ref="K7:M7"/>
    <mergeCell ref="N7:P7"/>
    <mergeCell ref="B31:C31"/>
    <mergeCell ref="B33:C33"/>
  </mergeCells>
  <pageMargins left="0.2" right="0.2" top="0.25" bottom="0.25" header="0.3" footer="0.3"/>
  <pageSetup paperSize="5" scale="5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K19"/>
  <sheetViews>
    <sheetView topLeftCell="B1" workbookViewId="0">
      <selection activeCell="I47" sqref="I47"/>
    </sheetView>
  </sheetViews>
  <sheetFormatPr defaultRowHeight="12.75"/>
  <cols>
    <col min="1" max="1" width="3" style="247" bestFit="1" customWidth="1"/>
    <col min="2" max="2" width="32.85546875" style="247" customWidth="1"/>
    <col min="3" max="3" width="19" style="247" customWidth="1"/>
    <col min="4" max="4" width="10.28515625" style="247" bestFit="1" customWidth="1"/>
    <col min="5" max="5" width="11.140625" style="247" bestFit="1" customWidth="1"/>
    <col min="6" max="6" width="11.140625" style="247" customWidth="1"/>
    <col min="7" max="7" width="12.28515625" style="247" bestFit="1" customWidth="1"/>
    <col min="8" max="9" width="11.28515625" style="247" bestFit="1" customWidth="1"/>
    <col min="10" max="10" width="20.28515625" style="247" bestFit="1" customWidth="1"/>
    <col min="11" max="11" width="19.42578125" style="247" bestFit="1" customWidth="1"/>
    <col min="12" max="16384" width="9.140625" style="247"/>
  </cols>
  <sheetData>
    <row r="1" spans="1:11">
      <c r="B1" s="247" t="s">
        <v>185</v>
      </c>
      <c r="C1" s="247" t="s">
        <v>240</v>
      </c>
    </row>
    <row r="2" spans="1:11">
      <c r="B2" s="247" t="s">
        <v>183</v>
      </c>
      <c r="C2" s="247" t="s">
        <v>239</v>
      </c>
    </row>
    <row r="3" spans="1:11">
      <c r="B3" s="247" t="s">
        <v>182</v>
      </c>
      <c r="C3" s="247" t="s">
        <v>227</v>
      </c>
    </row>
    <row r="4" spans="1:11">
      <c r="B4" s="247" t="s">
        <v>184</v>
      </c>
      <c r="C4" s="247" t="s">
        <v>238</v>
      </c>
    </row>
    <row r="5" spans="1:11">
      <c r="B5" s="247" t="s">
        <v>181</v>
      </c>
      <c r="C5" s="247" t="s">
        <v>237</v>
      </c>
    </row>
    <row r="6" spans="1:11">
      <c r="E6" s="299"/>
      <c r="F6" s="299"/>
      <c r="G6" s="299"/>
      <c r="H6" s="324" t="s">
        <v>236</v>
      </c>
      <c r="I6" s="324"/>
      <c r="J6" s="324"/>
      <c r="K6" s="299"/>
    </row>
    <row r="7" spans="1:11" ht="13.5" thickBot="1">
      <c r="B7" s="299"/>
      <c r="C7" s="299"/>
      <c r="D7" s="299"/>
      <c r="E7" s="324" t="s">
        <v>235</v>
      </c>
      <c r="F7" s="324"/>
      <c r="G7" s="324"/>
      <c r="H7" s="309">
        <v>0.35</v>
      </c>
      <c r="I7" s="309">
        <v>0.35</v>
      </c>
      <c r="J7" s="308">
        <v>5000</v>
      </c>
      <c r="K7" s="299"/>
    </row>
    <row r="8" spans="1:11">
      <c r="B8" s="298" t="s">
        <v>133</v>
      </c>
      <c r="C8" s="297" t="s">
        <v>106</v>
      </c>
      <c r="D8" s="297" t="s">
        <v>176</v>
      </c>
      <c r="E8" s="297" t="s">
        <v>130</v>
      </c>
      <c r="F8" s="297" t="s">
        <v>234</v>
      </c>
      <c r="G8" s="297" t="s">
        <v>100</v>
      </c>
      <c r="H8" s="297" t="s">
        <v>172</v>
      </c>
      <c r="I8" s="297" t="s">
        <v>233</v>
      </c>
      <c r="J8" s="297" t="s">
        <v>232</v>
      </c>
      <c r="K8" s="296" t="s">
        <v>231</v>
      </c>
    </row>
    <row r="9" spans="1:11">
      <c r="A9" s="300">
        <v>1</v>
      </c>
      <c r="B9" s="292" t="s">
        <v>230</v>
      </c>
      <c r="C9" s="290" t="s">
        <v>99</v>
      </c>
      <c r="D9" s="290" t="s">
        <v>120</v>
      </c>
      <c r="E9" s="295">
        <f>VLOOKUP($A9,'Year 1'!$D$32:$M$46,10,FALSE)</f>
        <v>29</v>
      </c>
      <c r="F9" s="290">
        <f>VLOOKUP(A9,'Year 1'!D32:AD46,27,FALSE)</f>
        <v>3480</v>
      </c>
      <c r="G9" s="307">
        <f t="shared" ref="G9:G18" si="0">E9*F9</f>
        <v>100920</v>
      </c>
      <c r="H9" s="307">
        <f t="shared" ref="H9:H18" si="1">$G9*$H$7</f>
        <v>35322</v>
      </c>
      <c r="I9" s="307">
        <f t="shared" ref="I9:I18" si="2">$G9*$I$7</f>
        <v>35322</v>
      </c>
      <c r="J9" s="307">
        <f>+J7</f>
        <v>5000</v>
      </c>
      <c r="K9" s="306">
        <f t="shared" ref="K9:K18" si="3">SUM(G9:J9)</f>
        <v>176564</v>
      </c>
    </row>
    <row r="10" spans="1:11">
      <c r="A10" s="300">
        <v>2</v>
      </c>
      <c r="B10" s="292" t="s">
        <v>63</v>
      </c>
      <c r="C10" s="290" t="s">
        <v>99</v>
      </c>
      <c r="D10" s="290" t="s">
        <v>120</v>
      </c>
      <c r="E10" s="295">
        <f>VLOOKUP($A10,'Year 1'!$D$32:$M$46,10,FALSE)</f>
        <v>33.81</v>
      </c>
      <c r="F10" s="290">
        <f t="shared" ref="F10:F18" si="4">+F9</f>
        <v>3480</v>
      </c>
      <c r="G10" s="307">
        <f t="shared" si="0"/>
        <v>117658.8</v>
      </c>
      <c r="H10" s="307">
        <f t="shared" si="1"/>
        <v>41180.58</v>
      </c>
      <c r="I10" s="307">
        <f t="shared" si="2"/>
        <v>41180.58</v>
      </c>
      <c r="J10" s="307">
        <f t="shared" ref="J10:J18" si="5">+J9</f>
        <v>5000</v>
      </c>
      <c r="K10" s="306">
        <f t="shared" si="3"/>
        <v>205019.96000000002</v>
      </c>
    </row>
    <row r="11" spans="1:11" ht="13.5" customHeight="1">
      <c r="A11" s="300">
        <v>3</v>
      </c>
      <c r="B11" s="292" t="s">
        <v>63</v>
      </c>
      <c r="C11" s="290" t="s">
        <v>99</v>
      </c>
      <c r="D11" s="290" t="s">
        <v>120</v>
      </c>
      <c r="E11" s="295">
        <f>VLOOKUP($A11,'Year 1'!$D$32:$M$46,10,FALSE)</f>
        <v>33.81</v>
      </c>
      <c r="F11" s="290">
        <f t="shared" si="4"/>
        <v>3480</v>
      </c>
      <c r="G11" s="307">
        <f t="shared" si="0"/>
        <v>117658.8</v>
      </c>
      <c r="H11" s="307">
        <f t="shared" si="1"/>
        <v>41180.58</v>
      </c>
      <c r="I11" s="307">
        <f t="shared" si="2"/>
        <v>41180.58</v>
      </c>
      <c r="J11" s="307">
        <f t="shared" si="5"/>
        <v>5000</v>
      </c>
      <c r="K11" s="306">
        <f t="shared" si="3"/>
        <v>205019.96000000002</v>
      </c>
    </row>
    <row r="12" spans="1:11">
      <c r="A12" s="300">
        <v>5</v>
      </c>
      <c r="B12" s="292" t="s">
        <v>65</v>
      </c>
      <c r="C12" s="290" t="s">
        <v>99</v>
      </c>
      <c r="D12" s="290" t="s">
        <v>120</v>
      </c>
      <c r="E12" s="295">
        <f>VLOOKUP($A12,'Year 1'!$D$32:$M$46,10,FALSE)</f>
        <v>26</v>
      </c>
      <c r="F12" s="290">
        <f t="shared" si="4"/>
        <v>3480</v>
      </c>
      <c r="G12" s="307">
        <f t="shared" si="0"/>
        <v>90480</v>
      </c>
      <c r="H12" s="307">
        <f t="shared" si="1"/>
        <v>31667.999999999996</v>
      </c>
      <c r="I12" s="307">
        <f t="shared" si="2"/>
        <v>31667.999999999996</v>
      </c>
      <c r="J12" s="307">
        <f t="shared" si="5"/>
        <v>5000</v>
      </c>
      <c r="K12" s="306">
        <f t="shared" si="3"/>
        <v>158816</v>
      </c>
    </row>
    <row r="13" spans="1:11">
      <c r="A13" s="300">
        <v>6</v>
      </c>
      <c r="B13" s="292" t="s">
        <v>65</v>
      </c>
      <c r="C13" s="290" t="s">
        <v>99</v>
      </c>
      <c r="D13" s="290" t="s">
        <v>120</v>
      </c>
      <c r="E13" s="295">
        <f>VLOOKUP($A13,'Year 1'!$D$32:$M$46,10,FALSE)</f>
        <v>26</v>
      </c>
      <c r="F13" s="290">
        <f t="shared" si="4"/>
        <v>3480</v>
      </c>
      <c r="G13" s="307">
        <f t="shared" si="0"/>
        <v>90480</v>
      </c>
      <c r="H13" s="307">
        <f t="shared" si="1"/>
        <v>31667.999999999996</v>
      </c>
      <c r="I13" s="307">
        <f t="shared" si="2"/>
        <v>31667.999999999996</v>
      </c>
      <c r="J13" s="307">
        <f t="shared" si="5"/>
        <v>5000</v>
      </c>
      <c r="K13" s="306">
        <f t="shared" si="3"/>
        <v>158816</v>
      </c>
    </row>
    <row r="14" spans="1:11">
      <c r="A14" s="300">
        <v>11</v>
      </c>
      <c r="B14" s="292" t="s">
        <v>75</v>
      </c>
      <c r="C14" s="290" t="s">
        <v>99</v>
      </c>
      <c r="D14" s="290" t="s">
        <v>120</v>
      </c>
      <c r="E14" s="295">
        <f>VLOOKUP($A14,'Year 1'!$D$32:$M$46,10,FALSE)</f>
        <v>27.5</v>
      </c>
      <c r="F14" s="290">
        <f t="shared" si="4"/>
        <v>3480</v>
      </c>
      <c r="G14" s="307">
        <f t="shared" si="0"/>
        <v>95700</v>
      </c>
      <c r="H14" s="307">
        <f t="shared" si="1"/>
        <v>33495</v>
      </c>
      <c r="I14" s="307">
        <f t="shared" si="2"/>
        <v>33495</v>
      </c>
      <c r="J14" s="307">
        <f t="shared" si="5"/>
        <v>5000</v>
      </c>
      <c r="K14" s="306">
        <f t="shared" si="3"/>
        <v>167690</v>
      </c>
    </row>
    <row r="15" spans="1:11">
      <c r="A15" s="300">
        <v>12</v>
      </c>
      <c r="B15" s="292" t="s">
        <v>76</v>
      </c>
      <c r="C15" s="290" t="s">
        <v>99</v>
      </c>
      <c r="D15" s="290" t="s">
        <v>120</v>
      </c>
      <c r="E15" s="295">
        <f>VLOOKUP($A15,'Year 1'!$D$32:$M$46,10,FALSE)</f>
        <v>28</v>
      </c>
      <c r="F15" s="290">
        <f t="shared" si="4"/>
        <v>3480</v>
      </c>
      <c r="G15" s="307">
        <f t="shared" si="0"/>
        <v>97440</v>
      </c>
      <c r="H15" s="307">
        <f t="shared" si="1"/>
        <v>34104</v>
      </c>
      <c r="I15" s="307">
        <f t="shared" si="2"/>
        <v>34104</v>
      </c>
      <c r="J15" s="307">
        <f t="shared" si="5"/>
        <v>5000</v>
      </c>
      <c r="K15" s="306">
        <f t="shared" si="3"/>
        <v>170648</v>
      </c>
    </row>
    <row r="16" spans="1:11">
      <c r="A16" s="300">
        <v>13</v>
      </c>
      <c r="B16" s="292" t="s">
        <v>77</v>
      </c>
      <c r="C16" s="290" t="s">
        <v>99</v>
      </c>
      <c r="D16" s="290" t="s">
        <v>120</v>
      </c>
      <c r="E16" s="295">
        <f>VLOOKUP($A16,'Year 1'!$D$32:$M$46,10,FALSE)</f>
        <v>26</v>
      </c>
      <c r="F16" s="290">
        <f t="shared" si="4"/>
        <v>3480</v>
      </c>
      <c r="G16" s="307">
        <f t="shared" si="0"/>
        <v>90480</v>
      </c>
      <c r="H16" s="307">
        <f t="shared" si="1"/>
        <v>31667.999999999996</v>
      </c>
      <c r="I16" s="307">
        <f t="shared" si="2"/>
        <v>31667.999999999996</v>
      </c>
      <c r="J16" s="307">
        <f t="shared" si="5"/>
        <v>5000</v>
      </c>
      <c r="K16" s="306">
        <f t="shared" si="3"/>
        <v>158816</v>
      </c>
    </row>
    <row r="17" spans="1:11">
      <c r="A17" s="300">
        <v>14</v>
      </c>
      <c r="B17" s="292" t="s">
        <v>78</v>
      </c>
      <c r="C17" s="290" t="s">
        <v>99</v>
      </c>
      <c r="D17" s="290" t="s">
        <v>120</v>
      </c>
      <c r="E17" s="295">
        <f>VLOOKUP($A17,'Year 1'!$D$32:$M$46,10,FALSE)</f>
        <v>26</v>
      </c>
      <c r="F17" s="290">
        <f t="shared" si="4"/>
        <v>3480</v>
      </c>
      <c r="G17" s="307">
        <f t="shared" si="0"/>
        <v>90480</v>
      </c>
      <c r="H17" s="307">
        <f t="shared" si="1"/>
        <v>31667.999999999996</v>
      </c>
      <c r="I17" s="307">
        <f t="shared" si="2"/>
        <v>31667.999999999996</v>
      </c>
      <c r="J17" s="307">
        <f t="shared" si="5"/>
        <v>5000</v>
      </c>
      <c r="K17" s="306">
        <f t="shared" si="3"/>
        <v>158816</v>
      </c>
    </row>
    <row r="18" spans="1:11" ht="13.5" thickBot="1">
      <c r="A18" s="300">
        <v>15</v>
      </c>
      <c r="B18" s="305" t="s">
        <v>79</v>
      </c>
      <c r="C18" s="303" t="s">
        <v>99</v>
      </c>
      <c r="D18" s="303" t="s">
        <v>120</v>
      </c>
      <c r="E18" s="304">
        <f>VLOOKUP($A18,'Year 1'!$D$32:$M$46,10,FALSE)</f>
        <v>25</v>
      </c>
      <c r="F18" s="303">
        <f t="shared" si="4"/>
        <v>3480</v>
      </c>
      <c r="G18" s="302">
        <f t="shared" si="0"/>
        <v>87000</v>
      </c>
      <c r="H18" s="302">
        <f t="shared" si="1"/>
        <v>30449.999999999996</v>
      </c>
      <c r="I18" s="302">
        <f t="shared" si="2"/>
        <v>30449.999999999996</v>
      </c>
      <c r="J18" s="302">
        <f t="shared" si="5"/>
        <v>5000</v>
      </c>
      <c r="K18" s="301">
        <f t="shared" si="3"/>
        <v>152900</v>
      </c>
    </row>
    <row r="19" spans="1:11">
      <c r="A19" s="300"/>
    </row>
  </sheetData>
  <mergeCells count="2">
    <mergeCell ref="H6:J6"/>
    <mergeCell ref="E7:G7"/>
  </mergeCells>
  <pageMargins left="0.2" right="0.2" top="0.25" bottom="0.25" header="0.3" footer="0.3"/>
  <pageSetup paperSize="5"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8</vt:i4>
      </vt:variant>
      <vt:variant>
        <vt:lpstr>Named Ranges</vt:lpstr>
      </vt:variant>
      <vt:variant>
        <vt:i4>12</vt:i4>
      </vt:variant>
    </vt:vector>
  </HeadingPairs>
  <LinksUpToDate>false</LinksUpToDate>
  <SharedDoc>false</SharedDoc>
  <HyperlinksChanged>false</HyperlinksChanged>
</Properties>
</file>